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akova\Desktop\zastupiteľstvo 9.12\výpočet hodnoty bytov\"/>
    </mc:Choice>
  </mc:AlternateContent>
  <xr:revisionPtr revIDLastSave="0" documentId="8_{73ADA9E7-E7E7-422F-A38E-3F5429937B3F}" xr6:coauthVersionLast="47" xr6:coauthVersionMax="47" xr10:uidLastSave="{00000000-0000-0000-0000-000000000000}"/>
  <bookViews>
    <workbookView xWindow="-120" yWindow="-120" windowWidth="29040" windowHeight="15840" firstSheet="2" activeTab="6" xr2:uid="{28016239-220D-4CF6-A0C6-FA80BBC9DFD3}"/>
  </bookViews>
  <sheets>
    <sheet name="Prezmluvňovanie" sheetId="15" r:id="rId1"/>
    <sheet name="Okáľa 2,10" sheetId="7" r:id="rId2"/>
    <sheet name="Vansovej 12" sheetId="8" r:id="rId3"/>
    <sheet name="V inej správe" sheetId="6" r:id="rId4"/>
    <sheet name="Kút 9,11,13" sheetId="5" r:id="rId5"/>
    <sheet name="CC 6,6A" sheetId="2" r:id="rId6"/>
    <sheet name="CC 8 ABCD" sheetId="23" r:id="rId7"/>
    <sheet name="CC 9A" sheetId="3" r:id="rId8"/>
    <sheet name="G 17,19 MsZ" sheetId="21" r:id="rId9"/>
    <sheet name="G 5A,5B MsZ" sheetId="22" r:id="rId10"/>
  </sheets>
  <definedNames>
    <definedName name="_xlnm.Print_Area" localSheetId="8">'G 17,19 MsZ'!$A$1:$AJ$42</definedName>
    <definedName name="_xlnm.Print_Area" localSheetId="9">'G 5A,5B MsZ'!$A$1:$AJ$41</definedName>
  </definedNames>
  <calcPr calcId="181029" fullPrecision="0"/>
</workbook>
</file>

<file path=xl/calcChain.xml><?xml version="1.0" encoding="utf-8"?>
<calcChain xmlns="http://schemas.openxmlformats.org/spreadsheetml/2006/main">
  <c r="C144" i="23" l="1"/>
  <c r="B144" i="23"/>
  <c r="D143" i="23"/>
  <c r="D142" i="23"/>
  <c r="D141" i="23"/>
  <c r="D140" i="23"/>
  <c r="D139" i="23"/>
  <c r="D138" i="23"/>
  <c r="D137" i="23"/>
  <c r="D136" i="23"/>
  <c r="D135" i="23"/>
  <c r="D134" i="23"/>
  <c r="D133" i="23"/>
  <c r="D132" i="23"/>
  <c r="D131" i="23"/>
  <c r="D130" i="23"/>
  <c r="D129" i="23"/>
  <c r="D128" i="23"/>
  <c r="D127" i="23"/>
  <c r="D126" i="23"/>
  <c r="D125" i="23"/>
  <c r="D124" i="23"/>
  <c r="D123" i="23"/>
  <c r="D122" i="23"/>
  <c r="D121" i="23"/>
  <c r="D120" i="23"/>
  <c r="D119" i="23"/>
  <c r="D118" i="23"/>
  <c r="D117" i="23"/>
  <c r="D116" i="23"/>
  <c r="D115" i="23"/>
  <c r="D114" i="23"/>
  <c r="D113" i="23"/>
  <c r="D112" i="23"/>
  <c r="D111" i="23"/>
  <c r="D110" i="23"/>
  <c r="D109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4" i="23"/>
  <c r="I63" i="23"/>
  <c r="I62" i="23"/>
  <c r="D101" i="23"/>
  <c r="D100" i="23"/>
  <c r="D99" i="23"/>
  <c r="D98" i="23"/>
  <c r="D97" i="23"/>
  <c r="D96" i="23"/>
  <c r="D95" i="23"/>
  <c r="D94" i="23"/>
  <c r="D93" i="23"/>
  <c r="D92" i="23"/>
  <c r="D91" i="23"/>
  <c r="D90" i="23"/>
  <c r="D89" i="23"/>
  <c r="D88" i="23"/>
  <c r="D87" i="23"/>
  <c r="D86" i="23"/>
  <c r="D85" i="23"/>
  <c r="D84" i="23"/>
  <c r="D83" i="23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N30" i="22"/>
  <c r="M30" i="22"/>
  <c r="L30" i="22"/>
  <c r="I30" i="22"/>
  <c r="G30" i="22"/>
  <c r="B30" i="22"/>
  <c r="AD25" i="22" s="1"/>
  <c r="F29" i="22"/>
  <c r="S29" i="22" s="1"/>
  <c r="F28" i="22"/>
  <c r="AE28" i="22" s="1"/>
  <c r="F27" i="22"/>
  <c r="F26" i="22"/>
  <c r="AG25" i="22" s="1"/>
  <c r="F25" i="22"/>
  <c r="S25" i="22" s="1"/>
  <c r="T25" i="22" s="1"/>
  <c r="U25" i="22" s="1"/>
  <c r="F24" i="22"/>
  <c r="AE24" i="22" s="1"/>
  <c r="F23" i="22"/>
  <c r="F22" i="22"/>
  <c r="AG21" i="22" s="1"/>
  <c r="F21" i="22"/>
  <c r="S21" i="22" s="1"/>
  <c r="T21" i="22" s="1"/>
  <c r="U21" i="22" s="1"/>
  <c r="F20" i="22"/>
  <c r="AE20" i="22" s="1"/>
  <c r="F19" i="22"/>
  <c r="F18" i="22"/>
  <c r="AG17" i="22" s="1"/>
  <c r="F17" i="22"/>
  <c r="S17" i="22" s="1"/>
  <c r="T17" i="22" s="1"/>
  <c r="U17" i="22" s="1"/>
  <c r="F16" i="22"/>
  <c r="AE16" i="22" s="1"/>
  <c r="F15" i="22"/>
  <c r="F14" i="22"/>
  <c r="AG13" i="22" s="1"/>
  <c r="F13" i="22"/>
  <c r="S13" i="22" s="1"/>
  <c r="T13" i="22" s="1"/>
  <c r="U13" i="22" s="1"/>
  <c r="F12" i="22"/>
  <c r="AE12" i="22" s="1"/>
  <c r="F11" i="22"/>
  <c r="F10" i="22"/>
  <c r="AG9" i="22" s="1"/>
  <c r="F9" i="22"/>
  <c r="S9" i="22" s="1"/>
  <c r="T9" i="22" s="1"/>
  <c r="U9" i="22" s="1"/>
  <c r="F8" i="22"/>
  <c r="AE8" i="22" s="1"/>
  <c r="F7" i="22"/>
  <c r="F6" i="22"/>
  <c r="S6" i="22" s="1"/>
  <c r="Z31" i="21"/>
  <c r="R31" i="21"/>
  <c r="N31" i="21"/>
  <c r="M31" i="21"/>
  <c r="L31" i="21"/>
  <c r="E31" i="21"/>
  <c r="D31" i="21"/>
  <c r="B31" i="21"/>
  <c r="AD29" i="21" s="1"/>
  <c r="F30" i="21"/>
  <c r="AG29" i="21" s="1"/>
  <c r="F29" i="21"/>
  <c r="S29" i="21" s="1"/>
  <c r="F28" i="21"/>
  <c r="S28" i="21" s="1"/>
  <c r="F27" i="21"/>
  <c r="S27" i="21" s="1"/>
  <c r="F26" i="21"/>
  <c r="S26" i="21" s="1"/>
  <c r="V26" i="21" s="1"/>
  <c r="W26" i="21" s="1"/>
  <c r="F25" i="21"/>
  <c r="S25" i="21" s="1"/>
  <c r="F24" i="21"/>
  <c r="S24" i="21" s="1"/>
  <c r="T24" i="21" s="1"/>
  <c r="U24" i="21" s="1"/>
  <c r="F23" i="21"/>
  <c r="AE23" i="21" s="1"/>
  <c r="F22" i="21"/>
  <c r="AG21" i="21" s="1"/>
  <c r="F21" i="21"/>
  <c r="AG20" i="21" s="1"/>
  <c r="F20" i="21"/>
  <c r="S20" i="21" s="1"/>
  <c r="F19" i="21"/>
  <c r="F18" i="21"/>
  <c r="S18" i="21" s="1"/>
  <c r="V18" i="21" s="1"/>
  <c r="W18" i="21" s="1"/>
  <c r="F17" i="21"/>
  <c r="S17" i="21" s="1"/>
  <c r="F16" i="21"/>
  <c r="AE16" i="21" s="1"/>
  <c r="F15" i="21"/>
  <c r="S15" i="21" s="1"/>
  <c r="F14" i="21"/>
  <c r="AG13" i="21" s="1"/>
  <c r="F13" i="21"/>
  <c r="F12" i="21"/>
  <c r="AG11" i="21" s="1"/>
  <c r="F11" i="21"/>
  <c r="AE11" i="21" s="1"/>
  <c r="F10" i="21"/>
  <c r="S10" i="21" s="1"/>
  <c r="V10" i="21" s="1"/>
  <c r="W10" i="21" s="1"/>
  <c r="F9" i="21"/>
  <c r="S9" i="21" s="1"/>
  <c r="F8" i="21"/>
  <c r="S8" i="21" s="1"/>
  <c r="T8" i="21" s="1"/>
  <c r="U8" i="21" s="1"/>
  <c r="F7" i="21"/>
  <c r="AE7" i="21" s="1"/>
  <c r="Q16" i="3"/>
  <c r="R17" i="2"/>
  <c r="R16" i="2"/>
  <c r="Q17" i="2"/>
  <c r="Q16" i="2"/>
  <c r="O13" i="6"/>
  <c r="O14" i="6"/>
  <c r="AE9" i="21" l="1"/>
  <c r="C145" i="23"/>
  <c r="C146" i="23" s="1"/>
  <c r="AD22" i="22"/>
  <c r="I20" i="22"/>
  <c r="J20" i="22" s="1"/>
  <c r="AL19" i="22" s="1"/>
  <c r="I28" i="22"/>
  <c r="J28" i="22" s="1"/>
  <c r="O28" i="22" s="1"/>
  <c r="P28" i="22" s="1"/>
  <c r="AG19" i="22"/>
  <c r="AE25" i="22"/>
  <c r="AE21" i="22"/>
  <c r="AE17" i="22"/>
  <c r="S26" i="22"/>
  <c r="AG11" i="22"/>
  <c r="AD27" i="22"/>
  <c r="AE29" i="22"/>
  <c r="AD6" i="22"/>
  <c r="AD7" i="22"/>
  <c r="V9" i="22"/>
  <c r="W9" i="22" s="1"/>
  <c r="AA9" i="22" s="1"/>
  <c r="S10" i="22"/>
  <c r="V10" i="22" s="1"/>
  <c r="W10" i="22" s="1"/>
  <c r="AJ9" i="22" s="1"/>
  <c r="AD11" i="22"/>
  <c r="I13" i="22"/>
  <c r="J13" i="22" s="1"/>
  <c r="S14" i="22"/>
  <c r="AG15" i="22"/>
  <c r="I19" i="22"/>
  <c r="J19" i="22" s="1"/>
  <c r="G22" i="22"/>
  <c r="H22" i="22" s="1"/>
  <c r="C30" i="22"/>
  <c r="AD9" i="22"/>
  <c r="AD10" i="22"/>
  <c r="AD13" i="22"/>
  <c r="AD15" i="22"/>
  <c r="I18" i="22"/>
  <c r="J18" i="22" s="1"/>
  <c r="O18" i="22" s="1"/>
  <c r="P18" i="22" s="1"/>
  <c r="AD20" i="22"/>
  <c r="I22" i="22"/>
  <c r="J22" i="22" s="1"/>
  <c r="O22" i="22" s="1"/>
  <c r="P22" i="22" s="1"/>
  <c r="I23" i="22"/>
  <c r="J23" i="22" s="1"/>
  <c r="AL22" i="22" s="1"/>
  <c r="G26" i="22"/>
  <c r="H26" i="22" s="1"/>
  <c r="AD28" i="22"/>
  <c r="G29" i="22"/>
  <c r="H29" i="22" s="1"/>
  <c r="I9" i="22"/>
  <c r="J9" i="22" s="1"/>
  <c r="O9" i="22" s="1"/>
  <c r="P9" i="22" s="1"/>
  <c r="AD16" i="22"/>
  <c r="I8" i="22"/>
  <c r="J8" i="22" s="1"/>
  <c r="R8" i="22" s="1"/>
  <c r="Z8" i="22" s="1"/>
  <c r="AE9" i="22"/>
  <c r="I12" i="22"/>
  <c r="J12" i="22" s="1"/>
  <c r="Q12" i="22" s="1"/>
  <c r="AE13" i="22"/>
  <c r="AD14" i="22"/>
  <c r="I17" i="22"/>
  <c r="J17" i="22" s="1"/>
  <c r="AL16" i="22" s="1"/>
  <c r="AD24" i="22"/>
  <c r="AG27" i="22"/>
  <c r="I27" i="22"/>
  <c r="J27" i="22" s="1"/>
  <c r="R27" i="22" s="1"/>
  <c r="Z27" i="22" s="1"/>
  <c r="G6" i="22"/>
  <c r="H6" i="22" s="1"/>
  <c r="I7" i="22"/>
  <c r="J7" i="22" s="1"/>
  <c r="AL6" i="22" s="1"/>
  <c r="I16" i="22"/>
  <c r="J16" i="22" s="1"/>
  <c r="Q16" i="22" s="1"/>
  <c r="AG23" i="22"/>
  <c r="G18" i="22"/>
  <c r="H18" i="22" s="1"/>
  <c r="I6" i="22"/>
  <c r="J6" i="22" s="1"/>
  <c r="AD8" i="22"/>
  <c r="G10" i="22"/>
  <c r="H10" i="22" s="1"/>
  <c r="I11" i="22"/>
  <c r="J11" i="22" s="1"/>
  <c r="G14" i="22"/>
  <c r="H14" i="22" s="1"/>
  <c r="AD17" i="22"/>
  <c r="S18" i="22"/>
  <c r="V18" i="22" s="1"/>
  <c r="W18" i="22" s="1"/>
  <c r="AD19" i="22"/>
  <c r="I21" i="22"/>
  <c r="J21" i="22" s="1"/>
  <c r="AL20" i="22" s="1"/>
  <c r="S22" i="22"/>
  <c r="AD26" i="22"/>
  <c r="I29" i="22"/>
  <c r="J29" i="22" s="1"/>
  <c r="Q29" i="22" s="1"/>
  <c r="I24" i="22"/>
  <c r="J24" i="22" s="1"/>
  <c r="Q24" i="22" s="1"/>
  <c r="AG7" i="22"/>
  <c r="I10" i="22"/>
  <c r="J10" i="22" s="1"/>
  <c r="O10" i="22" s="1"/>
  <c r="P10" i="22" s="1"/>
  <c r="AD12" i="22"/>
  <c r="I14" i="22"/>
  <c r="J14" i="22" s="1"/>
  <c r="O14" i="22" s="1"/>
  <c r="P14" i="22" s="1"/>
  <c r="I15" i="22"/>
  <c r="J15" i="22" s="1"/>
  <c r="AL14" i="22" s="1"/>
  <c r="AD18" i="22"/>
  <c r="AD21" i="22"/>
  <c r="AD23" i="22"/>
  <c r="I25" i="22"/>
  <c r="J25" i="22" s="1"/>
  <c r="Q25" i="22" s="1"/>
  <c r="AD29" i="22"/>
  <c r="AL8" i="22"/>
  <c r="R9" i="22"/>
  <c r="Z9" i="22" s="1"/>
  <c r="V6" i="22"/>
  <c r="W6" i="22" s="1"/>
  <c r="T6" i="22"/>
  <c r="U6" i="22" s="1"/>
  <c r="AG26" i="22"/>
  <c r="AE27" i="22"/>
  <c r="S27" i="22"/>
  <c r="AG18" i="22"/>
  <c r="AE19" i="22"/>
  <c r="S19" i="22"/>
  <c r="AG14" i="22"/>
  <c r="AE15" i="22"/>
  <c r="S15" i="22"/>
  <c r="V17" i="22"/>
  <c r="W17" i="22" s="1"/>
  <c r="AE6" i="22"/>
  <c r="AG22" i="22"/>
  <c r="AE23" i="22"/>
  <c r="S23" i="22"/>
  <c r="V25" i="22"/>
  <c r="W25" i="22" s="1"/>
  <c r="T29" i="22"/>
  <c r="U29" i="22" s="1"/>
  <c r="V29" i="22"/>
  <c r="W29" i="22" s="1"/>
  <c r="V21" i="22"/>
  <c r="W21" i="22" s="1"/>
  <c r="AG10" i="22"/>
  <c r="AE11" i="22"/>
  <c r="S11" i="22"/>
  <c r="V13" i="22"/>
  <c r="W13" i="22" s="1"/>
  <c r="AJ17" i="22"/>
  <c r="AA18" i="22"/>
  <c r="AG6" i="22"/>
  <c r="AE7" i="22"/>
  <c r="S7" i="22"/>
  <c r="Q27" i="22"/>
  <c r="AL27" i="22"/>
  <c r="R28" i="22"/>
  <c r="Z28" i="22" s="1"/>
  <c r="Q28" i="22"/>
  <c r="G7" i="22"/>
  <c r="H7" i="22" s="1"/>
  <c r="AG8" i="22"/>
  <c r="AE10" i="22"/>
  <c r="G11" i="22"/>
  <c r="H11" i="22" s="1"/>
  <c r="AL10" i="22"/>
  <c r="AG12" i="22"/>
  <c r="AE14" i="22"/>
  <c r="G15" i="22"/>
  <c r="H15" i="22" s="1"/>
  <c r="AG16" i="22"/>
  <c r="AE18" i="22"/>
  <c r="G19" i="22"/>
  <c r="H19" i="22" s="1"/>
  <c r="AL18" i="22"/>
  <c r="Q20" i="22"/>
  <c r="AG20" i="22"/>
  <c r="AE22" i="22"/>
  <c r="G23" i="22"/>
  <c r="H23" i="22" s="1"/>
  <c r="AG24" i="22"/>
  <c r="I26" i="22"/>
  <c r="J26" i="22" s="1"/>
  <c r="AE26" i="22"/>
  <c r="G27" i="22"/>
  <c r="H27" i="22" s="1"/>
  <c r="AG28" i="22"/>
  <c r="H30" i="22"/>
  <c r="R20" i="22"/>
  <c r="Z20" i="22" s="1"/>
  <c r="O6" i="22"/>
  <c r="G8" i="22"/>
  <c r="H8" i="22" s="1"/>
  <c r="S8" i="22"/>
  <c r="G12" i="22"/>
  <c r="H12" i="22" s="1"/>
  <c r="S12" i="22"/>
  <c r="G16" i="22"/>
  <c r="H16" i="22" s="1"/>
  <c r="S16" i="22"/>
  <c r="G20" i="22"/>
  <c r="H20" i="22" s="1"/>
  <c r="S20" i="22"/>
  <c r="G24" i="22"/>
  <c r="H24" i="22" s="1"/>
  <c r="S24" i="22"/>
  <c r="G28" i="22"/>
  <c r="H28" i="22" s="1"/>
  <c r="S28" i="22"/>
  <c r="G9" i="22"/>
  <c r="H9" i="22" s="1"/>
  <c r="G13" i="22"/>
  <c r="H13" i="22" s="1"/>
  <c r="G17" i="22"/>
  <c r="H17" i="22" s="1"/>
  <c r="G21" i="22"/>
  <c r="H21" i="22" s="1"/>
  <c r="G25" i="22"/>
  <c r="H25" i="22" s="1"/>
  <c r="AD15" i="21"/>
  <c r="AD26" i="21"/>
  <c r="AD12" i="21"/>
  <c r="AD16" i="21"/>
  <c r="AD20" i="21"/>
  <c r="AD23" i="21"/>
  <c r="AD19" i="21"/>
  <c r="AD9" i="21"/>
  <c r="AE20" i="21"/>
  <c r="AG22" i="21"/>
  <c r="AD27" i="21"/>
  <c r="AD13" i="21"/>
  <c r="AD17" i="21"/>
  <c r="AG19" i="21"/>
  <c r="AD11" i="21"/>
  <c r="AD22" i="21"/>
  <c r="AD24" i="21"/>
  <c r="AD10" i="21"/>
  <c r="AD14" i="21"/>
  <c r="AD18" i="21"/>
  <c r="AD21" i="21"/>
  <c r="AD8" i="21"/>
  <c r="AD7" i="21"/>
  <c r="AD25" i="21"/>
  <c r="AD30" i="21"/>
  <c r="AD28" i="21"/>
  <c r="AE25" i="21"/>
  <c r="AE24" i="21"/>
  <c r="AG24" i="21"/>
  <c r="V8" i="21"/>
  <c r="W8" i="21" s="1"/>
  <c r="AA8" i="21" s="1"/>
  <c r="AB8" i="21" s="1"/>
  <c r="T10" i="21"/>
  <c r="U10" i="21" s="1"/>
  <c r="AE8" i="21"/>
  <c r="AE28" i="21"/>
  <c r="AE17" i="21"/>
  <c r="AG27" i="21"/>
  <c r="AG16" i="21"/>
  <c r="AE15" i="21"/>
  <c r="AG8" i="21"/>
  <c r="AG14" i="21"/>
  <c r="T18" i="21"/>
  <c r="U18" i="21" s="1"/>
  <c r="V27" i="21"/>
  <c r="W27" i="21" s="1"/>
  <c r="T27" i="21"/>
  <c r="U27" i="21" s="1"/>
  <c r="AJ25" i="21"/>
  <c r="AA26" i="21"/>
  <c r="AB26" i="21" s="1"/>
  <c r="T28" i="21"/>
  <c r="U28" i="21" s="1"/>
  <c r="V28" i="21"/>
  <c r="W28" i="21" s="1"/>
  <c r="AJ9" i="21"/>
  <c r="AA10" i="21"/>
  <c r="AB10" i="21" s="1"/>
  <c r="AE19" i="21"/>
  <c r="AG18" i="21"/>
  <c r="S19" i="21"/>
  <c r="T25" i="21"/>
  <c r="U25" i="21" s="1"/>
  <c r="V25" i="21"/>
  <c r="W25" i="21" s="1"/>
  <c r="T26" i="21"/>
  <c r="U26" i="21" s="1"/>
  <c r="T17" i="21"/>
  <c r="U17" i="21" s="1"/>
  <c r="V17" i="21"/>
  <c r="W17" i="21" s="1"/>
  <c r="AG12" i="21"/>
  <c r="AE13" i="21"/>
  <c r="V15" i="21"/>
  <c r="W15" i="21" s="1"/>
  <c r="T15" i="21"/>
  <c r="U15" i="21" s="1"/>
  <c r="V29" i="21"/>
  <c r="W29" i="21" s="1"/>
  <c r="T29" i="21"/>
  <c r="U29" i="21" s="1"/>
  <c r="T9" i="21"/>
  <c r="U9" i="21" s="1"/>
  <c r="V9" i="21"/>
  <c r="W9" i="21" s="1"/>
  <c r="S13" i="21"/>
  <c r="AJ17" i="21"/>
  <c r="AA18" i="21"/>
  <c r="AB18" i="21" s="1"/>
  <c r="AG10" i="21"/>
  <c r="F31" i="21"/>
  <c r="AE27" i="21"/>
  <c r="AG26" i="21"/>
  <c r="S11" i="21"/>
  <c r="V20" i="21"/>
  <c r="W20" i="21" s="1"/>
  <c r="T20" i="21"/>
  <c r="U20" i="21" s="1"/>
  <c r="V24" i="21"/>
  <c r="W24" i="21" s="1"/>
  <c r="AG7" i="21"/>
  <c r="AE10" i="21"/>
  <c r="S12" i="21"/>
  <c r="AG15" i="21"/>
  <c r="AE18" i="21"/>
  <c r="AG23" i="21"/>
  <c r="AE26" i="21"/>
  <c r="AG9" i="21"/>
  <c r="AE12" i="21"/>
  <c r="S14" i="21"/>
  <c r="AG17" i="21"/>
  <c r="S22" i="21"/>
  <c r="AG25" i="21"/>
  <c r="S30" i="21"/>
  <c r="S21" i="21"/>
  <c r="S7" i="21"/>
  <c r="AE21" i="21"/>
  <c r="S23" i="21"/>
  <c r="AE29" i="21"/>
  <c r="AE14" i="21"/>
  <c r="S16" i="21"/>
  <c r="AE22" i="21"/>
  <c r="AE30" i="21"/>
  <c r="AG28" i="21"/>
  <c r="S29" i="7"/>
  <c r="R30" i="5"/>
  <c r="S30" i="5" s="1"/>
  <c r="T30" i="5" s="1"/>
  <c r="U30" i="5" s="1"/>
  <c r="V30" i="5" s="1"/>
  <c r="R47" i="5"/>
  <c r="S47" i="5" s="1"/>
  <c r="T47" i="5" s="1"/>
  <c r="U47" i="5" s="1"/>
  <c r="V47" i="5" s="1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R60" i="2"/>
  <c r="R48" i="2"/>
  <c r="R49" i="2"/>
  <c r="R50" i="2"/>
  <c r="R51" i="2"/>
  <c r="R52" i="2"/>
  <c r="R53" i="2"/>
  <c r="R54" i="2"/>
  <c r="R55" i="2"/>
  <c r="R56" i="2"/>
  <c r="R57" i="2"/>
  <c r="R58" i="2"/>
  <c r="R59" i="2"/>
  <c r="R61" i="2"/>
  <c r="R62" i="2"/>
  <c r="R63" i="2"/>
  <c r="R64" i="2"/>
  <c r="R65" i="2"/>
  <c r="R66" i="2"/>
  <c r="R67" i="2"/>
  <c r="R68" i="2"/>
  <c r="R69" i="2"/>
  <c r="R70" i="2"/>
  <c r="R71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L14" i="7"/>
  <c r="O68" i="3"/>
  <c r="O69" i="3" s="1"/>
  <c r="P72" i="2"/>
  <c r="C43" i="7"/>
  <c r="M41" i="7"/>
  <c r="M37" i="7"/>
  <c r="O37" i="7" s="1"/>
  <c r="M33" i="7"/>
  <c r="M25" i="7"/>
  <c r="M21" i="7"/>
  <c r="M17" i="7"/>
  <c r="M42" i="7"/>
  <c r="M40" i="7"/>
  <c r="M39" i="7"/>
  <c r="M38" i="7"/>
  <c r="M36" i="7"/>
  <c r="M35" i="7"/>
  <c r="M34" i="7"/>
  <c r="M32" i="7"/>
  <c r="M31" i="7"/>
  <c r="M30" i="7"/>
  <c r="M27" i="7"/>
  <c r="M26" i="7"/>
  <c r="M24" i="7"/>
  <c r="O24" i="7" s="1"/>
  <c r="M23" i="7"/>
  <c r="M22" i="7"/>
  <c r="M20" i="7"/>
  <c r="M19" i="7"/>
  <c r="M18" i="7"/>
  <c r="M16" i="7"/>
  <c r="O16" i="7" s="1"/>
  <c r="M15" i="7"/>
  <c r="M14" i="7"/>
  <c r="O14" i="7" s="1"/>
  <c r="C21" i="8"/>
  <c r="D35" i="6"/>
  <c r="C64" i="5"/>
  <c r="C68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16" i="3"/>
  <c r="I8" i="3"/>
  <c r="I9" i="3" s="1"/>
  <c r="I16" i="3" s="1"/>
  <c r="C72" i="2"/>
  <c r="AJ7" i="21" l="1"/>
  <c r="R12" i="22"/>
  <c r="Z12" i="22" s="1"/>
  <c r="AJ8" i="22"/>
  <c r="T10" i="22"/>
  <c r="U10" i="22" s="1"/>
  <c r="AA10" i="22"/>
  <c r="O20" i="22"/>
  <c r="P20" i="22" s="1"/>
  <c r="R24" i="22"/>
  <c r="Z24" i="22" s="1"/>
  <c r="R16" i="22"/>
  <c r="Z16" i="22" s="1"/>
  <c r="AL7" i="22"/>
  <c r="AL26" i="22"/>
  <c r="O29" i="22"/>
  <c r="P29" i="22" s="1"/>
  <c r="R25" i="22"/>
  <c r="Z25" i="22" s="1"/>
  <c r="O27" i="22"/>
  <c r="P27" i="22" s="1"/>
  <c r="O8" i="22"/>
  <c r="P8" i="22" s="1"/>
  <c r="Q8" i="22"/>
  <c r="AF10" i="22"/>
  <c r="AH9" i="22" s="1"/>
  <c r="X10" i="22"/>
  <c r="Y10" i="22" s="1"/>
  <c r="R29" i="22"/>
  <c r="Z29" i="22" s="1"/>
  <c r="AL28" i="22"/>
  <c r="AL24" i="22"/>
  <c r="X9" i="22"/>
  <c r="Y9" i="22" s="1"/>
  <c r="O21" i="22"/>
  <c r="P21" i="22" s="1"/>
  <c r="Q9" i="22"/>
  <c r="Q21" i="22"/>
  <c r="X18" i="22"/>
  <c r="Y18" i="22" s="1"/>
  <c r="R21" i="22"/>
  <c r="Z21" i="22" s="1"/>
  <c r="V26" i="22"/>
  <c r="W26" i="22" s="1"/>
  <c r="AF26" i="22" s="1"/>
  <c r="AH25" i="22" s="1"/>
  <c r="T26" i="22"/>
  <c r="U26" i="22" s="1"/>
  <c r="AD30" i="22"/>
  <c r="J30" i="22"/>
  <c r="O25" i="22"/>
  <c r="P25" i="22" s="1"/>
  <c r="AF9" i="22"/>
  <c r="AH8" i="22" s="1"/>
  <c r="O13" i="22"/>
  <c r="P13" i="22" s="1"/>
  <c r="Q10" i="22"/>
  <c r="R10" i="22"/>
  <c r="Z10" i="22" s="1"/>
  <c r="AL9" i="22"/>
  <c r="Q13" i="22"/>
  <c r="AL15" i="22"/>
  <c r="O16" i="22"/>
  <c r="P16" i="22" s="1"/>
  <c r="S30" i="22"/>
  <c r="R13" i="22"/>
  <c r="Z13" i="22" s="1"/>
  <c r="AL23" i="22"/>
  <c r="O24" i="22"/>
  <c r="P24" i="22" s="1"/>
  <c r="O7" i="22"/>
  <c r="P7" i="22" s="1"/>
  <c r="Q7" i="22"/>
  <c r="R7" i="22"/>
  <c r="Z7" i="22" s="1"/>
  <c r="AL11" i="22"/>
  <c r="O12" i="22"/>
  <c r="P12" i="22" s="1"/>
  <c r="O23" i="22"/>
  <c r="P23" i="22" s="1"/>
  <c r="R23" i="22"/>
  <c r="Z23" i="22" s="1"/>
  <c r="Q23" i="22"/>
  <c r="O17" i="22"/>
  <c r="P17" i="22" s="1"/>
  <c r="AL12" i="22"/>
  <c r="O11" i="22"/>
  <c r="P11" i="22" s="1"/>
  <c r="R11" i="22"/>
  <c r="Z11" i="22" s="1"/>
  <c r="Q11" i="22"/>
  <c r="Q22" i="22"/>
  <c r="AL21" i="22"/>
  <c r="R22" i="22"/>
  <c r="Z22" i="22" s="1"/>
  <c r="Q17" i="22"/>
  <c r="O19" i="22"/>
  <c r="P19" i="22" s="1"/>
  <c r="R19" i="22"/>
  <c r="Z19" i="22" s="1"/>
  <c r="Q19" i="22"/>
  <c r="T18" i="22"/>
  <c r="U18" i="22" s="1"/>
  <c r="AF18" i="22"/>
  <c r="AH17" i="22" s="1"/>
  <c r="R17" i="22"/>
  <c r="Z17" i="22" s="1"/>
  <c r="O15" i="22"/>
  <c r="P15" i="22" s="1"/>
  <c r="Q15" i="22"/>
  <c r="R15" i="22"/>
  <c r="Z15" i="22" s="1"/>
  <c r="V22" i="22"/>
  <c r="W22" i="22" s="1"/>
  <c r="T22" i="22"/>
  <c r="U22" i="22" s="1"/>
  <c r="Q18" i="22"/>
  <c r="R18" i="22"/>
  <c r="AL17" i="22"/>
  <c r="Q14" i="22"/>
  <c r="R14" i="22"/>
  <c r="Z14" i="22" s="1"/>
  <c r="AL13" i="22"/>
  <c r="Q6" i="22"/>
  <c r="R6" i="22"/>
  <c r="Z6" i="22" s="1"/>
  <c r="V14" i="22"/>
  <c r="W14" i="22" s="1"/>
  <c r="T14" i="22"/>
  <c r="U14" i="22" s="1"/>
  <c r="T8" i="22"/>
  <c r="U8" i="22" s="1"/>
  <c r="V8" i="22"/>
  <c r="W8" i="22" s="1"/>
  <c r="V23" i="22"/>
  <c r="W23" i="22" s="1"/>
  <c r="T23" i="22"/>
  <c r="U23" i="22" s="1"/>
  <c r="V11" i="22"/>
  <c r="W11" i="22" s="1"/>
  <c r="T11" i="22"/>
  <c r="U11" i="22" s="1"/>
  <c r="V19" i="22"/>
  <c r="W19" i="22" s="1"/>
  <c r="T19" i="22"/>
  <c r="U19" i="22" s="1"/>
  <c r="AJ16" i="22"/>
  <c r="AA17" i="22"/>
  <c r="X17" i="22"/>
  <c r="Y17" i="22" s="1"/>
  <c r="AF17" i="22"/>
  <c r="X6" i="22"/>
  <c r="Y6" i="22" s="1"/>
  <c r="AF6" i="22"/>
  <c r="AA6" i="22"/>
  <c r="V28" i="22"/>
  <c r="W28" i="22" s="1"/>
  <c r="T28" i="22"/>
  <c r="U28" i="22" s="1"/>
  <c r="V16" i="22"/>
  <c r="W16" i="22" s="1"/>
  <c r="T16" i="22"/>
  <c r="U16" i="22" s="1"/>
  <c r="P6" i="22"/>
  <c r="V15" i="22"/>
  <c r="W15" i="22" s="1"/>
  <c r="T15" i="22"/>
  <c r="U15" i="22" s="1"/>
  <c r="R26" i="22"/>
  <c r="Z26" i="22" s="1"/>
  <c r="Q26" i="22"/>
  <c r="O26" i="22"/>
  <c r="P26" i="22" s="1"/>
  <c r="AL25" i="22"/>
  <c r="AE30" i="22"/>
  <c r="V24" i="22"/>
  <c r="W24" i="22" s="1"/>
  <c r="T24" i="22"/>
  <c r="U24" i="22" s="1"/>
  <c r="AJ20" i="22"/>
  <c r="AA21" i="22"/>
  <c r="X21" i="22"/>
  <c r="Y21" i="22" s="1"/>
  <c r="AF21" i="22"/>
  <c r="AG29" i="22"/>
  <c r="AB9" i="22"/>
  <c r="V20" i="22"/>
  <c r="W20" i="22" s="1"/>
  <c r="T20" i="22"/>
  <c r="U20" i="22" s="1"/>
  <c r="AJ24" i="22"/>
  <c r="AA25" i="22"/>
  <c r="AB25" i="22" s="1"/>
  <c r="X25" i="22"/>
  <c r="Y25" i="22" s="1"/>
  <c r="AF25" i="22"/>
  <c r="AH24" i="22" s="1"/>
  <c r="V27" i="22"/>
  <c r="W27" i="22" s="1"/>
  <c r="T27" i="22"/>
  <c r="U27" i="22" s="1"/>
  <c r="V12" i="22"/>
  <c r="W12" i="22" s="1"/>
  <c r="T12" i="22"/>
  <c r="U12" i="22" s="1"/>
  <c r="AJ28" i="22"/>
  <c r="AA29" i="22"/>
  <c r="X29" i="22"/>
  <c r="Y29" i="22" s="1"/>
  <c r="AF29" i="22"/>
  <c r="V7" i="22"/>
  <c r="W7" i="22" s="1"/>
  <c r="T7" i="22"/>
  <c r="U7" i="22" s="1"/>
  <c r="AJ12" i="22"/>
  <c r="AA13" i="22"/>
  <c r="X13" i="22"/>
  <c r="Y13" i="22" s="1"/>
  <c r="AF13" i="22"/>
  <c r="AD31" i="21"/>
  <c r="AE31" i="21"/>
  <c r="AG30" i="21"/>
  <c r="C31" i="21"/>
  <c r="I31" i="21"/>
  <c r="G31" i="21"/>
  <c r="V19" i="21"/>
  <c r="W19" i="21" s="1"/>
  <c r="T19" i="21"/>
  <c r="U19" i="21" s="1"/>
  <c r="AJ8" i="21"/>
  <c r="AA9" i="21"/>
  <c r="AB9" i="21" s="1"/>
  <c r="V7" i="21"/>
  <c r="W7" i="21" s="1"/>
  <c r="T7" i="21"/>
  <c r="U7" i="21" s="1"/>
  <c r="S31" i="21"/>
  <c r="AJ23" i="21"/>
  <c r="AA24" i="21"/>
  <c r="AB24" i="21" s="1"/>
  <c r="V13" i="21"/>
  <c r="W13" i="21" s="1"/>
  <c r="T13" i="21"/>
  <c r="U13" i="21" s="1"/>
  <c r="V30" i="21"/>
  <c r="W30" i="21" s="1"/>
  <c r="T30" i="21"/>
  <c r="U30" i="21" s="1"/>
  <c r="AJ19" i="21"/>
  <c r="AA20" i="21"/>
  <c r="AB20" i="21" s="1"/>
  <c r="AJ16" i="21"/>
  <c r="AA17" i="21"/>
  <c r="AB17" i="21" s="1"/>
  <c r="T16" i="21"/>
  <c r="U16" i="21" s="1"/>
  <c r="V16" i="21"/>
  <c r="W16" i="21" s="1"/>
  <c r="V11" i="21"/>
  <c r="W11" i="21" s="1"/>
  <c r="T11" i="21"/>
  <c r="U11" i="21" s="1"/>
  <c r="V21" i="21"/>
  <c r="W21" i="21" s="1"/>
  <c r="T21" i="21"/>
  <c r="U21" i="21" s="1"/>
  <c r="V22" i="21"/>
  <c r="W22" i="21" s="1"/>
  <c r="T22" i="21"/>
  <c r="U22" i="21" s="1"/>
  <c r="AJ14" i="21"/>
  <c r="AA15" i="21"/>
  <c r="AB15" i="21" s="1"/>
  <c r="AJ26" i="21"/>
  <c r="AA27" i="21"/>
  <c r="AB27" i="21" s="1"/>
  <c r="V12" i="21"/>
  <c r="W12" i="21" s="1"/>
  <c r="T12" i="21"/>
  <c r="U12" i="21" s="1"/>
  <c r="AJ28" i="21"/>
  <c r="AA29" i="21"/>
  <c r="AB29" i="21" s="1"/>
  <c r="AJ24" i="21"/>
  <c r="AA25" i="21"/>
  <c r="AB25" i="21" s="1"/>
  <c r="V23" i="21"/>
  <c r="W23" i="21" s="1"/>
  <c r="T23" i="21"/>
  <c r="U23" i="21" s="1"/>
  <c r="V14" i="21"/>
  <c r="W14" i="21" s="1"/>
  <c r="T14" i="21"/>
  <c r="U14" i="21" s="1"/>
  <c r="AJ27" i="21"/>
  <c r="AA28" i="21"/>
  <c r="AB28" i="21" s="1"/>
  <c r="O70" i="3"/>
  <c r="O26" i="7"/>
  <c r="O27" i="7"/>
  <c r="Q72" i="2"/>
  <c r="T68" i="3"/>
  <c r="T69" i="3" s="1"/>
  <c r="T70" i="3" s="1"/>
  <c r="N18" i="7"/>
  <c r="R18" i="7"/>
  <c r="S18" i="7" s="1"/>
  <c r="N30" i="7"/>
  <c r="O30" i="7"/>
  <c r="R30" i="7"/>
  <c r="S30" i="7" s="1"/>
  <c r="N19" i="7"/>
  <c r="R19" i="7"/>
  <c r="S19" i="7" s="1"/>
  <c r="N31" i="7"/>
  <c r="R31" i="7"/>
  <c r="S31" i="7" s="1"/>
  <c r="N42" i="7"/>
  <c r="O42" i="7"/>
  <c r="R42" i="7"/>
  <c r="S42" i="7" s="1"/>
  <c r="N20" i="7"/>
  <c r="R20" i="7"/>
  <c r="S20" i="7" s="1"/>
  <c r="O20" i="7"/>
  <c r="N32" i="7"/>
  <c r="R32" i="7"/>
  <c r="S32" i="7" s="1"/>
  <c r="N17" i="7"/>
  <c r="R17" i="7"/>
  <c r="S17" i="7" s="1"/>
  <c r="O17" i="7"/>
  <c r="O32" i="7"/>
  <c r="N22" i="7"/>
  <c r="O22" i="7"/>
  <c r="R22" i="7"/>
  <c r="S22" i="7" s="1"/>
  <c r="N34" i="7"/>
  <c r="O34" i="7"/>
  <c r="R34" i="7"/>
  <c r="S34" i="7" s="1"/>
  <c r="N21" i="7"/>
  <c r="O21" i="7"/>
  <c r="R21" i="7"/>
  <c r="S21" i="7" s="1"/>
  <c r="O31" i="7"/>
  <c r="O19" i="7"/>
  <c r="O18" i="7"/>
  <c r="N40" i="7"/>
  <c r="R40" i="7"/>
  <c r="S40" i="7" s="1"/>
  <c r="N35" i="7"/>
  <c r="O35" i="7"/>
  <c r="R35" i="7"/>
  <c r="S35" i="7" s="1"/>
  <c r="N25" i="7"/>
  <c r="R25" i="7"/>
  <c r="S25" i="7" s="1"/>
  <c r="O25" i="7"/>
  <c r="N15" i="7"/>
  <c r="O15" i="7"/>
  <c r="R15" i="7"/>
  <c r="S15" i="7" s="1"/>
  <c r="N26" i="7"/>
  <c r="R26" i="7"/>
  <c r="S26" i="7" s="1"/>
  <c r="N38" i="7"/>
  <c r="R38" i="7"/>
  <c r="S38" i="7" s="1"/>
  <c r="O38" i="7"/>
  <c r="N37" i="7"/>
  <c r="R37" i="7"/>
  <c r="S37" i="7" s="1"/>
  <c r="N23" i="7"/>
  <c r="O23" i="7"/>
  <c r="R23" i="7"/>
  <c r="S23" i="7" s="1"/>
  <c r="P73" i="2"/>
  <c r="N14" i="7"/>
  <c r="R14" i="7"/>
  <c r="N24" i="7"/>
  <c r="R24" i="7"/>
  <c r="S24" i="7" s="1"/>
  <c r="N36" i="7"/>
  <c r="O36" i="7"/>
  <c r="R36" i="7"/>
  <c r="S36" i="7" s="1"/>
  <c r="N33" i="7"/>
  <c r="R33" i="7"/>
  <c r="S33" i="7" s="1"/>
  <c r="O33" i="7"/>
  <c r="N16" i="7"/>
  <c r="R16" i="7"/>
  <c r="S16" i="7" s="1"/>
  <c r="N27" i="7"/>
  <c r="R27" i="7"/>
  <c r="S27" i="7" s="1"/>
  <c r="N39" i="7"/>
  <c r="R39" i="7"/>
  <c r="S39" i="7" s="1"/>
  <c r="N41" i="7"/>
  <c r="R41" i="7"/>
  <c r="S41" i="7" s="1"/>
  <c r="O41" i="7"/>
  <c r="O40" i="7"/>
  <c r="O39" i="7"/>
  <c r="M43" i="7"/>
  <c r="P68" i="3"/>
  <c r="AI9" i="22" l="1"/>
  <c r="AB29" i="22"/>
  <c r="AB21" i="22"/>
  <c r="AI17" i="22"/>
  <c r="AB18" i="22"/>
  <c r="Z18" i="22"/>
  <c r="Z30" i="22" s="1"/>
  <c r="AB10" i="22"/>
  <c r="AB13" i="22"/>
  <c r="AJ25" i="22"/>
  <c r="AA26" i="22"/>
  <c r="Q30" i="22"/>
  <c r="X26" i="22"/>
  <c r="Y26" i="22" s="1"/>
  <c r="AF14" i="22"/>
  <c r="AJ13" i="22"/>
  <c r="AA14" i="22"/>
  <c r="AB14" i="22" s="1"/>
  <c r="X14" i="22"/>
  <c r="Y14" i="22" s="1"/>
  <c r="R30" i="22"/>
  <c r="AB17" i="22"/>
  <c r="AJ21" i="22"/>
  <c r="AA22" i="22"/>
  <c r="AB22" i="22" s="1"/>
  <c r="X22" i="22"/>
  <c r="Y22" i="22" s="1"/>
  <c r="AF22" i="22"/>
  <c r="AI25" i="22"/>
  <c r="AF20" i="22"/>
  <c r="AJ19" i="22"/>
  <c r="AA20" i="22"/>
  <c r="AB20" i="22" s="1"/>
  <c r="X20" i="22"/>
  <c r="Y20" i="22" s="1"/>
  <c r="AF16" i="22"/>
  <c r="AH15" i="22" s="1"/>
  <c r="AJ15" i="22"/>
  <c r="AA16" i="22"/>
  <c r="AB16" i="22" s="1"/>
  <c r="X16" i="22"/>
  <c r="Y16" i="22" s="1"/>
  <c r="W30" i="22"/>
  <c r="X27" i="22"/>
  <c r="Y27" i="22" s="1"/>
  <c r="AF27" i="22"/>
  <c r="AA27" i="22"/>
  <c r="AB27" i="22" s="1"/>
  <c r="AJ26" i="22"/>
  <c r="AF24" i="22"/>
  <c r="AH23" i="22" s="1"/>
  <c r="AJ23" i="22"/>
  <c r="AA24" i="22"/>
  <c r="AB24" i="22" s="1"/>
  <c r="X24" i="22"/>
  <c r="Y24" i="22" s="1"/>
  <c r="AB26" i="22"/>
  <c r="X19" i="22"/>
  <c r="Y19" i="22" s="1"/>
  <c r="AF19" i="22"/>
  <c r="AH18" i="22" s="1"/>
  <c r="AJ18" i="22"/>
  <c r="AA19" i="22"/>
  <c r="AB19" i="22" s="1"/>
  <c r="AJ7" i="22"/>
  <c r="AA8" i="22"/>
  <c r="AB8" i="22" s="1"/>
  <c r="AF8" i="22"/>
  <c r="AH7" i="22" s="1"/>
  <c r="X8" i="22"/>
  <c r="Y8" i="22" s="1"/>
  <c r="AH12" i="22"/>
  <c r="AH28" i="22"/>
  <c r="AB6" i="22"/>
  <c r="X11" i="22"/>
  <c r="Y11" i="22" s="1"/>
  <c r="AF11" i="22"/>
  <c r="AH10" i="22" s="1"/>
  <c r="AA11" i="22"/>
  <c r="AB11" i="22" s="1"/>
  <c r="AJ10" i="22"/>
  <c r="X15" i="22"/>
  <c r="Y15" i="22" s="1"/>
  <c r="AF15" i="22"/>
  <c r="AJ14" i="22"/>
  <c r="AA15" i="22"/>
  <c r="AB15" i="22" s="1"/>
  <c r="AH16" i="22"/>
  <c r="AI16" i="22" s="1"/>
  <c r="AI24" i="22"/>
  <c r="AF28" i="22"/>
  <c r="AH27" i="22" s="1"/>
  <c r="AJ27" i="22"/>
  <c r="AA28" i="22"/>
  <c r="AB28" i="22" s="1"/>
  <c r="X28" i="22"/>
  <c r="Y28" i="22" s="1"/>
  <c r="AH20" i="22"/>
  <c r="O30" i="22"/>
  <c r="P30" i="22" s="1"/>
  <c r="AF7" i="22"/>
  <c r="AH6" i="22" s="1"/>
  <c r="X7" i="22"/>
  <c r="Y7" i="22" s="1"/>
  <c r="AJ6" i="22"/>
  <c r="AA7" i="22"/>
  <c r="AB7" i="22" s="1"/>
  <c r="AF12" i="22"/>
  <c r="AH11" i="22" s="1"/>
  <c r="AJ11" i="22"/>
  <c r="AA12" i="22"/>
  <c r="AB12" i="22" s="1"/>
  <c r="X12" i="22"/>
  <c r="Y12" i="22" s="1"/>
  <c r="X23" i="22"/>
  <c r="Y23" i="22" s="1"/>
  <c r="AF23" i="22"/>
  <c r="AH22" i="22" s="1"/>
  <c r="AJ22" i="22"/>
  <c r="AA23" i="22"/>
  <c r="AB23" i="22" s="1"/>
  <c r="AJ15" i="21"/>
  <c r="AA16" i="21"/>
  <c r="AB16" i="21" s="1"/>
  <c r="AJ21" i="21"/>
  <c r="AA22" i="21"/>
  <c r="AB22" i="21" s="1"/>
  <c r="I23" i="21"/>
  <c r="J23" i="21" s="1"/>
  <c r="AF23" i="21" s="1"/>
  <c r="I15" i="21"/>
  <c r="J15" i="21" s="1"/>
  <c r="I7" i="21"/>
  <c r="J7" i="21" s="1"/>
  <c r="AF7" i="21" s="1"/>
  <c r="I30" i="21"/>
  <c r="J30" i="21" s="1"/>
  <c r="I22" i="21"/>
  <c r="J22" i="21" s="1"/>
  <c r="AF22" i="21" s="1"/>
  <c r="I14" i="21"/>
  <c r="J14" i="21" s="1"/>
  <c r="X14" i="21" s="1"/>
  <c r="Y14" i="21" s="1"/>
  <c r="I18" i="21"/>
  <c r="J18" i="21" s="1"/>
  <c r="I29" i="21"/>
  <c r="J29" i="21" s="1"/>
  <c r="I21" i="21"/>
  <c r="J21" i="21" s="1"/>
  <c r="X21" i="21" s="1"/>
  <c r="Y21" i="21" s="1"/>
  <c r="I13" i="21"/>
  <c r="J13" i="21" s="1"/>
  <c r="AF13" i="21" s="1"/>
  <c r="AH12" i="21" s="1"/>
  <c r="I28" i="21"/>
  <c r="J28" i="21" s="1"/>
  <c r="I20" i="21"/>
  <c r="J20" i="21" s="1"/>
  <c r="I12" i="21"/>
  <c r="J12" i="21" s="1"/>
  <c r="I26" i="21"/>
  <c r="J26" i="21" s="1"/>
  <c r="I27" i="21"/>
  <c r="J27" i="21" s="1"/>
  <c r="I19" i="21"/>
  <c r="J19" i="21" s="1"/>
  <c r="X19" i="21" s="1"/>
  <c r="Y19" i="21" s="1"/>
  <c r="I11" i="21"/>
  <c r="J11" i="21" s="1"/>
  <c r="AF11" i="21" s="1"/>
  <c r="AH10" i="21" s="1"/>
  <c r="I25" i="21"/>
  <c r="J25" i="21" s="1"/>
  <c r="I17" i="21"/>
  <c r="J17" i="21" s="1"/>
  <c r="I9" i="21"/>
  <c r="J9" i="21" s="1"/>
  <c r="I24" i="21"/>
  <c r="J24" i="21" s="1"/>
  <c r="I8" i="21"/>
  <c r="J8" i="21" s="1"/>
  <c r="I16" i="21"/>
  <c r="J16" i="21" s="1"/>
  <c r="AF16" i="21" s="1"/>
  <c r="I10" i="21"/>
  <c r="J10" i="21" s="1"/>
  <c r="AJ11" i="21"/>
  <c r="AA12" i="21"/>
  <c r="AB12" i="21" s="1"/>
  <c r="AJ29" i="21"/>
  <c r="AA30" i="21"/>
  <c r="AB30" i="21" s="1"/>
  <c r="AJ13" i="21"/>
  <c r="AA14" i="21"/>
  <c r="AB14" i="21" s="1"/>
  <c r="AJ20" i="21"/>
  <c r="AA21" i="21"/>
  <c r="AB21" i="21" s="1"/>
  <c r="AJ22" i="21"/>
  <c r="AA23" i="21"/>
  <c r="AB23" i="21" s="1"/>
  <c r="AJ10" i="21"/>
  <c r="AA11" i="21"/>
  <c r="AB11" i="21" s="1"/>
  <c r="AJ18" i="21"/>
  <c r="AA19" i="21"/>
  <c r="AB19" i="21" s="1"/>
  <c r="AF19" i="21"/>
  <c r="AH18" i="21" s="1"/>
  <c r="AJ12" i="21"/>
  <c r="AA13" i="21"/>
  <c r="AB13" i="21" s="1"/>
  <c r="W31" i="21"/>
  <c r="AA7" i="21"/>
  <c r="G25" i="21"/>
  <c r="H25" i="21" s="1"/>
  <c r="G17" i="21"/>
  <c r="H17" i="21" s="1"/>
  <c r="G9" i="21"/>
  <c r="H9" i="21" s="1"/>
  <c r="G24" i="21"/>
  <c r="H24" i="21" s="1"/>
  <c r="G16" i="21"/>
  <c r="H16" i="21" s="1"/>
  <c r="G8" i="21"/>
  <c r="H8" i="21" s="1"/>
  <c r="G20" i="21"/>
  <c r="H20" i="21" s="1"/>
  <c r="G23" i="21"/>
  <c r="H23" i="21" s="1"/>
  <c r="G15" i="21"/>
  <c r="H15" i="21" s="1"/>
  <c r="G7" i="21"/>
  <c r="H7" i="21" s="1"/>
  <c r="G30" i="21"/>
  <c r="H30" i="21" s="1"/>
  <c r="G22" i="21"/>
  <c r="H22" i="21" s="1"/>
  <c r="G14" i="21"/>
  <c r="H14" i="21" s="1"/>
  <c r="H31" i="21"/>
  <c r="G29" i="21"/>
  <c r="H29" i="21" s="1"/>
  <c r="G21" i="21"/>
  <c r="H21" i="21" s="1"/>
  <c r="G13" i="21"/>
  <c r="H13" i="21" s="1"/>
  <c r="G28" i="21"/>
  <c r="H28" i="21" s="1"/>
  <c r="G27" i="21"/>
  <c r="H27" i="21" s="1"/>
  <c r="G19" i="21"/>
  <c r="H19" i="21" s="1"/>
  <c r="G11" i="21"/>
  <c r="H11" i="21" s="1"/>
  <c r="G18" i="21"/>
  <c r="H18" i="21" s="1"/>
  <c r="G10" i="21"/>
  <c r="H10" i="21" s="1"/>
  <c r="G12" i="21"/>
  <c r="H12" i="21" s="1"/>
  <c r="G26" i="21"/>
  <c r="H26" i="21" s="1"/>
  <c r="P74" i="2"/>
  <c r="N43" i="7"/>
  <c r="M44" i="7"/>
  <c r="R43" i="7"/>
  <c r="R44" i="7" s="1"/>
  <c r="R45" i="7" s="1"/>
  <c r="S14" i="7"/>
  <c r="S43" i="7" s="1"/>
  <c r="AI20" i="22" l="1"/>
  <c r="AI28" i="22"/>
  <c r="AI12" i="22"/>
  <c r="AI8" i="22"/>
  <c r="AJ29" i="22"/>
  <c r="AH21" i="22"/>
  <c r="AI21" i="22" s="1"/>
  <c r="AH13" i="22"/>
  <c r="AI13" i="22" s="1"/>
  <c r="AB30" i="22"/>
  <c r="AA30" i="22"/>
  <c r="AI6" i="22"/>
  <c r="AI27" i="22"/>
  <c r="AH14" i="22"/>
  <c r="AI14" i="22" s="1"/>
  <c r="AH26" i="22"/>
  <c r="AI26" i="22" s="1"/>
  <c r="AI15" i="22"/>
  <c r="AI7" i="22"/>
  <c r="AH19" i="22"/>
  <c r="AI19" i="22" s="1"/>
  <c r="AI22" i="22"/>
  <c r="AI11" i="22"/>
  <c r="AI10" i="22"/>
  <c r="AI18" i="22"/>
  <c r="AI23" i="22"/>
  <c r="AF30" i="22"/>
  <c r="AF31" i="22" s="1"/>
  <c r="X13" i="21"/>
  <c r="Y13" i="21" s="1"/>
  <c r="X7" i="21"/>
  <c r="Y7" i="21" s="1"/>
  <c r="AF21" i="21"/>
  <c r="X11" i="21"/>
  <c r="Y11" i="21" s="1"/>
  <c r="X23" i="21"/>
  <c r="Y23" i="21" s="1"/>
  <c r="AH15" i="21"/>
  <c r="AL7" i="21"/>
  <c r="Q8" i="21"/>
  <c r="O8" i="21"/>
  <c r="P8" i="21" s="1"/>
  <c r="AF8" i="21"/>
  <c r="X8" i="21"/>
  <c r="Y8" i="21" s="1"/>
  <c r="AL25" i="21"/>
  <c r="Q26" i="21"/>
  <c r="O26" i="21"/>
  <c r="P26" i="21" s="1"/>
  <c r="X26" i="21"/>
  <c r="Y26" i="21" s="1"/>
  <c r="AF26" i="21"/>
  <c r="AL13" i="21"/>
  <c r="O14" i="21"/>
  <c r="P14" i="21" s="1"/>
  <c r="Q14" i="21"/>
  <c r="AL23" i="21"/>
  <c r="Q24" i="21"/>
  <c r="O24" i="21"/>
  <c r="P24" i="21" s="1"/>
  <c r="X24" i="21"/>
  <c r="Y24" i="21" s="1"/>
  <c r="AF24" i="21"/>
  <c r="O12" i="21"/>
  <c r="P12" i="21" s="1"/>
  <c r="AL11" i="21"/>
  <c r="Q12" i="21"/>
  <c r="Q22" i="21"/>
  <c r="AL21" i="21"/>
  <c r="O22" i="21"/>
  <c r="P22" i="21" s="1"/>
  <c r="Q30" i="21"/>
  <c r="AL29" i="21"/>
  <c r="O30" i="21"/>
  <c r="P30" i="21" s="1"/>
  <c r="AJ30" i="21"/>
  <c r="AF14" i="21"/>
  <c r="AF12" i="21"/>
  <c r="AI12" i="21" s="1"/>
  <c r="AL16" i="21"/>
  <c r="Q17" i="21"/>
  <c r="O17" i="21"/>
  <c r="P17" i="21" s="1"/>
  <c r="AF17" i="21"/>
  <c r="X17" i="21"/>
  <c r="Y17" i="21" s="1"/>
  <c r="O28" i="21"/>
  <c r="P28" i="21" s="1"/>
  <c r="AL27" i="21"/>
  <c r="Q28" i="21"/>
  <c r="X28" i="21"/>
  <c r="Y28" i="21" s="1"/>
  <c r="AF28" i="21"/>
  <c r="J31" i="21"/>
  <c r="Q7" i="21"/>
  <c r="O7" i="21"/>
  <c r="X30" i="21"/>
  <c r="Y30" i="21" s="1"/>
  <c r="X12" i="21"/>
  <c r="Y12" i="21" s="1"/>
  <c r="AL24" i="21"/>
  <c r="Q25" i="21"/>
  <c r="O25" i="21"/>
  <c r="P25" i="21" s="1"/>
  <c r="X25" i="21"/>
  <c r="Y25" i="21" s="1"/>
  <c r="AF25" i="21"/>
  <c r="O13" i="21"/>
  <c r="P13" i="21" s="1"/>
  <c r="Q13" i="21"/>
  <c r="AL12" i="21"/>
  <c r="AL14" i="21"/>
  <c r="Q15" i="21"/>
  <c r="O15" i="21"/>
  <c r="P15" i="21" s="1"/>
  <c r="AF15" i="21"/>
  <c r="X15" i="21"/>
  <c r="Y15" i="21" s="1"/>
  <c r="Q11" i="21"/>
  <c r="O11" i="21"/>
  <c r="P11" i="21" s="1"/>
  <c r="AL10" i="21"/>
  <c r="O21" i="21"/>
  <c r="P21" i="21" s="1"/>
  <c r="AL20" i="21"/>
  <c r="Q21" i="21"/>
  <c r="AL22" i="21"/>
  <c r="Q23" i="21"/>
  <c r="O23" i="21"/>
  <c r="P23" i="21" s="1"/>
  <c r="O20" i="21"/>
  <c r="P20" i="21" s="1"/>
  <c r="AL19" i="21"/>
  <c r="Q20" i="21"/>
  <c r="AF20" i="21"/>
  <c r="X20" i="21"/>
  <c r="Y20" i="21" s="1"/>
  <c r="AH22" i="21"/>
  <c r="AI22" i="21" s="1"/>
  <c r="AH20" i="21"/>
  <c r="AI20" i="21" s="1"/>
  <c r="AL9" i="21"/>
  <c r="Q10" i="21"/>
  <c r="O10" i="21"/>
  <c r="P10" i="21" s="1"/>
  <c r="X10" i="21"/>
  <c r="Y10" i="21" s="1"/>
  <c r="AF10" i="21"/>
  <c r="AI10" i="21" s="1"/>
  <c r="Q19" i="21"/>
  <c r="O19" i="21"/>
  <c r="P19" i="21" s="1"/>
  <c r="AL18" i="21"/>
  <c r="O29" i="21"/>
  <c r="P29" i="21" s="1"/>
  <c r="AL28" i="21"/>
  <c r="Q29" i="21"/>
  <c r="X29" i="21"/>
  <c r="Y29" i="21" s="1"/>
  <c r="AF29" i="21"/>
  <c r="X22" i="21"/>
  <c r="Y22" i="21" s="1"/>
  <c r="AA31" i="21"/>
  <c r="AB7" i="21"/>
  <c r="AB31" i="21" s="1"/>
  <c r="AL8" i="21"/>
  <c r="Q9" i="21"/>
  <c r="O9" i="21"/>
  <c r="P9" i="21" s="1"/>
  <c r="X9" i="21"/>
  <c r="Y9" i="21" s="1"/>
  <c r="AF9" i="21"/>
  <c r="AF30" i="21"/>
  <c r="O16" i="21"/>
  <c r="P16" i="21" s="1"/>
  <c r="AL15" i="21"/>
  <c r="Q16" i="21"/>
  <c r="Q27" i="21"/>
  <c r="O27" i="21"/>
  <c r="P27" i="21" s="1"/>
  <c r="AL26" i="21"/>
  <c r="X27" i="21"/>
  <c r="Y27" i="21" s="1"/>
  <c r="AF27" i="21"/>
  <c r="AL17" i="21"/>
  <c r="Q18" i="21"/>
  <c r="O18" i="21"/>
  <c r="P18" i="21" s="1"/>
  <c r="X18" i="21"/>
  <c r="Y18" i="21" s="1"/>
  <c r="AF18" i="21"/>
  <c r="AI18" i="21" s="1"/>
  <c r="AH21" i="21"/>
  <c r="AI21" i="21" s="1"/>
  <c r="X16" i="21"/>
  <c r="Y16" i="21" s="1"/>
  <c r="S44" i="7"/>
  <c r="S45" i="7" s="1"/>
  <c r="M45" i="7"/>
  <c r="AI29" i="22" l="1"/>
  <c r="AH29" i="22"/>
  <c r="AI15" i="21"/>
  <c r="AF31" i="21"/>
  <c r="AF32" i="21" s="1"/>
  <c r="AH26" i="21"/>
  <c r="AI26" i="21" s="1"/>
  <c r="AH23" i="21"/>
  <c r="AI23" i="21" s="1"/>
  <c r="AH7" i="21"/>
  <c r="AI7" i="21" s="1"/>
  <c r="AH27" i="21"/>
  <c r="AI27" i="21" s="1"/>
  <c r="AH25" i="21"/>
  <c r="AI25" i="21" s="1"/>
  <c r="AH11" i="21"/>
  <c r="AI11" i="21" s="1"/>
  <c r="AH13" i="21"/>
  <c r="AI13" i="21" s="1"/>
  <c r="AH29" i="21"/>
  <c r="AI29" i="21" s="1"/>
  <c r="AH24" i="21"/>
  <c r="AI24" i="21" s="1"/>
  <c r="AH8" i="21"/>
  <c r="AI8" i="21" s="1"/>
  <c r="AH28" i="21"/>
  <c r="AI28" i="21" s="1"/>
  <c r="AH9" i="21"/>
  <c r="AI9" i="21" s="1"/>
  <c r="AH19" i="21"/>
  <c r="AI19" i="21" s="1"/>
  <c r="AH14" i="21"/>
  <c r="AI14" i="21" s="1"/>
  <c r="O31" i="21"/>
  <c r="P31" i="21" s="1"/>
  <c r="P7" i="21"/>
  <c r="Q31" i="21"/>
  <c r="AH17" i="21"/>
  <c r="AI17" i="21" s="1"/>
  <c r="AH16" i="21"/>
  <c r="AI16" i="21" s="1"/>
  <c r="AI30" i="21" l="1"/>
  <c r="AH30" i="21"/>
  <c r="M18" i="2" l="1"/>
  <c r="O18" i="2" s="1"/>
  <c r="I20" i="8" l="1"/>
  <c r="J20" i="8" s="1"/>
  <c r="K20" i="8" s="1"/>
  <c r="I14" i="8"/>
  <c r="J14" i="8" s="1"/>
  <c r="K14" i="8" s="1"/>
  <c r="I15" i="8"/>
  <c r="J15" i="8" s="1"/>
  <c r="K15" i="8" s="1"/>
  <c r="I16" i="8"/>
  <c r="J16" i="8" s="1"/>
  <c r="K16" i="8" s="1"/>
  <c r="I17" i="8"/>
  <c r="J17" i="8" s="1"/>
  <c r="K17" i="8" s="1"/>
  <c r="I18" i="8"/>
  <c r="J18" i="8" s="1"/>
  <c r="K18" i="8" s="1"/>
  <c r="I19" i="8"/>
  <c r="J19" i="8" s="1"/>
  <c r="K19" i="8" s="1"/>
  <c r="I13" i="8"/>
  <c r="J13" i="8" s="1"/>
  <c r="K13" i="8" s="1"/>
  <c r="E43" i="7"/>
  <c r="L23" i="7"/>
  <c r="L24" i="7"/>
  <c r="L25" i="7"/>
  <c r="L26" i="7"/>
  <c r="L27" i="7"/>
  <c r="I31" i="7"/>
  <c r="J31" i="7" s="1"/>
  <c r="K31" i="7" s="1"/>
  <c r="I32" i="7"/>
  <c r="J32" i="7" s="1"/>
  <c r="K32" i="7" s="1"/>
  <c r="I33" i="7"/>
  <c r="J33" i="7" s="1"/>
  <c r="K33" i="7" s="1"/>
  <c r="I34" i="7"/>
  <c r="J34" i="7" s="1"/>
  <c r="K34" i="7" s="1"/>
  <c r="I35" i="7"/>
  <c r="J35" i="7" s="1"/>
  <c r="K35" i="7" s="1"/>
  <c r="I36" i="7"/>
  <c r="I37" i="7"/>
  <c r="J37" i="7" s="1"/>
  <c r="K37" i="7" s="1"/>
  <c r="I38" i="7"/>
  <c r="J38" i="7" s="1"/>
  <c r="K38" i="7" s="1"/>
  <c r="I39" i="7"/>
  <c r="J39" i="7" s="1"/>
  <c r="K39" i="7" s="1"/>
  <c r="I40" i="7"/>
  <c r="J40" i="7" s="1"/>
  <c r="K40" i="7" s="1"/>
  <c r="I41" i="7"/>
  <c r="J41" i="7" s="1"/>
  <c r="K41" i="7" s="1"/>
  <c r="I42" i="7"/>
  <c r="J42" i="7" s="1"/>
  <c r="K42" i="7" s="1"/>
  <c r="I14" i="7"/>
  <c r="J14" i="7" s="1"/>
  <c r="K14" i="7" s="1"/>
  <c r="I15" i="7"/>
  <c r="J15" i="7" s="1"/>
  <c r="K15" i="7" s="1"/>
  <c r="I16" i="7"/>
  <c r="J16" i="7" s="1"/>
  <c r="K16" i="7" s="1"/>
  <c r="I17" i="7"/>
  <c r="J17" i="7" s="1"/>
  <c r="K17" i="7" s="1"/>
  <c r="I18" i="7"/>
  <c r="J18" i="7" s="1"/>
  <c r="K18" i="7" s="1"/>
  <c r="I19" i="7"/>
  <c r="J19" i="7" s="1"/>
  <c r="K19" i="7" s="1"/>
  <c r="I20" i="7"/>
  <c r="J20" i="7" s="1"/>
  <c r="K20" i="7" s="1"/>
  <c r="I21" i="7"/>
  <c r="J21" i="7" s="1"/>
  <c r="K21" i="7" s="1"/>
  <c r="I22" i="7"/>
  <c r="J22" i="7" s="1"/>
  <c r="K22" i="7" s="1"/>
  <c r="I23" i="7"/>
  <c r="J23" i="7" s="1"/>
  <c r="K23" i="7" s="1"/>
  <c r="I24" i="7"/>
  <c r="J24" i="7" s="1"/>
  <c r="K24" i="7" s="1"/>
  <c r="I25" i="7"/>
  <c r="J25" i="7" s="1"/>
  <c r="K25" i="7" s="1"/>
  <c r="I26" i="7"/>
  <c r="J26" i="7" s="1"/>
  <c r="K26" i="7" s="1"/>
  <c r="I27" i="7"/>
  <c r="J27" i="7" s="1"/>
  <c r="K27" i="7" s="1"/>
  <c r="I30" i="7"/>
  <c r="J30" i="7" s="1"/>
  <c r="K30" i="7" s="1"/>
  <c r="L31" i="7"/>
  <c r="L32" i="7"/>
  <c r="L33" i="7"/>
  <c r="L34" i="7"/>
  <c r="L35" i="7"/>
  <c r="L36" i="7"/>
  <c r="L37" i="7"/>
  <c r="L38" i="7"/>
  <c r="L39" i="7"/>
  <c r="L40" i="7"/>
  <c r="L41" i="7"/>
  <c r="L42" i="7"/>
  <c r="L15" i="7"/>
  <c r="L16" i="7"/>
  <c r="L17" i="7"/>
  <c r="L18" i="7"/>
  <c r="L19" i="7"/>
  <c r="L20" i="7"/>
  <c r="L21" i="7"/>
  <c r="L22" i="7"/>
  <c r="J36" i="7"/>
  <c r="K36" i="7" s="1"/>
  <c r="L30" i="7"/>
  <c r="F35" i="6"/>
  <c r="J14" i="6"/>
  <c r="K14" i="6" s="1"/>
  <c r="L14" i="6" s="1"/>
  <c r="J15" i="6"/>
  <c r="K15" i="6" s="1"/>
  <c r="L15" i="6" s="1"/>
  <c r="J16" i="6"/>
  <c r="K16" i="6" s="1"/>
  <c r="L16" i="6" s="1"/>
  <c r="J17" i="6"/>
  <c r="K17" i="6" s="1"/>
  <c r="L17" i="6" s="1"/>
  <c r="J18" i="6"/>
  <c r="K18" i="6" s="1"/>
  <c r="L18" i="6" s="1"/>
  <c r="J19" i="6"/>
  <c r="K19" i="6" s="1"/>
  <c r="L19" i="6" s="1"/>
  <c r="J20" i="6"/>
  <c r="K20" i="6" s="1"/>
  <c r="L20" i="6" s="1"/>
  <c r="J21" i="6"/>
  <c r="K21" i="6" s="1"/>
  <c r="L21" i="6" s="1"/>
  <c r="J22" i="6"/>
  <c r="K22" i="6" s="1"/>
  <c r="L22" i="6" s="1"/>
  <c r="J23" i="6"/>
  <c r="K23" i="6" s="1"/>
  <c r="L23" i="6" s="1"/>
  <c r="J24" i="6"/>
  <c r="K24" i="6" s="1"/>
  <c r="L24" i="6" s="1"/>
  <c r="J25" i="6"/>
  <c r="K25" i="6" s="1"/>
  <c r="L25" i="6" s="1"/>
  <c r="J26" i="6"/>
  <c r="K26" i="6" s="1"/>
  <c r="L26" i="6" s="1"/>
  <c r="J27" i="6"/>
  <c r="K27" i="6" s="1"/>
  <c r="L27" i="6" s="1"/>
  <c r="J28" i="6"/>
  <c r="K28" i="6" s="1"/>
  <c r="L28" i="6" s="1"/>
  <c r="J29" i="6"/>
  <c r="K29" i="6" s="1"/>
  <c r="L29" i="6" s="1"/>
  <c r="J30" i="6"/>
  <c r="K30" i="6" s="1"/>
  <c r="L30" i="6" s="1"/>
  <c r="J31" i="6"/>
  <c r="K31" i="6" s="1"/>
  <c r="L31" i="6" s="1"/>
  <c r="J32" i="6"/>
  <c r="K32" i="6" s="1"/>
  <c r="L32" i="6" s="1"/>
  <c r="J33" i="6"/>
  <c r="K33" i="6" s="1"/>
  <c r="L33" i="6" s="1"/>
  <c r="J34" i="6"/>
  <c r="K34" i="6" s="1"/>
  <c r="L34" i="6" s="1"/>
  <c r="J13" i="6"/>
  <c r="K13" i="6" s="1"/>
  <c r="L13" i="6" s="1"/>
  <c r="I32" i="5"/>
  <c r="J32" i="5" s="1"/>
  <c r="K32" i="5" s="1"/>
  <c r="I33" i="5"/>
  <c r="J33" i="5" s="1"/>
  <c r="K33" i="5" s="1"/>
  <c r="I34" i="5"/>
  <c r="J34" i="5" s="1"/>
  <c r="K34" i="5" s="1"/>
  <c r="I35" i="5"/>
  <c r="J35" i="5" s="1"/>
  <c r="K35" i="5" s="1"/>
  <c r="I36" i="5"/>
  <c r="J36" i="5" s="1"/>
  <c r="K36" i="5" s="1"/>
  <c r="I37" i="5"/>
  <c r="J37" i="5" s="1"/>
  <c r="K37" i="5" s="1"/>
  <c r="I38" i="5"/>
  <c r="J38" i="5" s="1"/>
  <c r="K38" i="5" s="1"/>
  <c r="I39" i="5"/>
  <c r="J39" i="5" s="1"/>
  <c r="K39" i="5" s="1"/>
  <c r="I40" i="5"/>
  <c r="J40" i="5" s="1"/>
  <c r="K40" i="5" s="1"/>
  <c r="I41" i="5"/>
  <c r="J41" i="5" s="1"/>
  <c r="K41" i="5" s="1"/>
  <c r="I42" i="5"/>
  <c r="J42" i="5" s="1"/>
  <c r="K42" i="5" s="1"/>
  <c r="I43" i="5"/>
  <c r="J43" i="5" s="1"/>
  <c r="K43" i="5" s="1"/>
  <c r="I44" i="5"/>
  <c r="J44" i="5" s="1"/>
  <c r="K44" i="5" s="1"/>
  <c r="I45" i="5"/>
  <c r="J45" i="5" s="1"/>
  <c r="K45" i="5" s="1"/>
  <c r="I48" i="5"/>
  <c r="J48" i="5" s="1"/>
  <c r="K48" i="5" s="1"/>
  <c r="I49" i="5"/>
  <c r="J49" i="5" s="1"/>
  <c r="K49" i="5" s="1"/>
  <c r="I50" i="5"/>
  <c r="J50" i="5" s="1"/>
  <c r="K50" i="5" s="1"/>
  <c r="I51" i="5"/>
  <c r="J51" i="5" s="1"/>
  <c r="K51" i="5" s="1"/>
  <c r="I52" i="5"/>
  <c r="J52" i="5" s="1"/>
  <c r="K52" i="5" s="1"/>
  <c r="I53" i="5"/>
  <c r="J53" i="5" s="1"/>
  <c r="K53" i="5" s="1"/>
  <c r="I54" i="5"/>
  <c r="J54" i="5" s="1"/>
  <c r="K54" i="5" s="1"/>
  <c r="I55" i="5"/>
  <c r="J55" i="5" s="1"/>
  <c r="K55" i="5" s="1"/>
  <c r="I56" i="5"/>
  <c r="J56" i="5" s="1"/>
  <c r="K56" i="5" s="1"/>
  <c r="I57" i="5"/>
  <c r="J57" i="5" s="1"/>
  <c r="K57" i="5" s="1"/>
  <c r="I58" i="5"/>
  <c r="J58" i="5" s="1"/>
  <c r="K58" i="5" s="1"/>
  <c r="I59" i="5"/>
  <c r="J59" i="5" s="1"/>
  <c r="K59" i="5" s="1"/>
  <c r="I60" i="5"/>
  <c r="J60" i="5" s="1"/>
  <c r="K60" i="5" s="1"/>
  <c r="I61" i="5"/>
  <c r="J61" i="5" s="1"/>
  <c r="K61" i="5" s="1"/>
  <c r="I62" i="5"/>
  <c r="J62" i="5" s="1"/>
  <c r="K62" i="5" s="1"/>
  <c r="I63" i="5"/>
  <c r="J63" i="5" s="1"/>
  <c r="K63" i="5" s="1"/>
  <c r="I14" i="5"/>
  <c r="J14" i="5" s="1"/>
  <c r="K14" i="5" s="1"/>
  <c r="I15" i="5"/>
  <c r="J15" i="5" s="1"/>
  <c r="K15" i="5" s="1"/>
  <c r="I16" i="5"/>
  <c r="J16" i="5" s="1"/>
  <c r="K16" i="5" s="1"/>
  <c r="I17" i="5"/>
  <c r="J17" i="5" s="1"/>
  <c r="K17" i="5" s="1"/>
  <c r="I18" i="5"/>
  <c r="J18" i="5" s="1"/>
  <c r="K18" i="5" s="1"/>
  <c r="I19" i="5"/>
  <c r="J19" i="5" s="1"/>
  <c r="K19" i="5" s="1"/>
  <c r="I20" i="5"/>
  <c r="J20" i="5" s="1"/>
  <c r="K20" i="5" s="1"/>
  <c r="I21" i="5"/>
  <c r="J21" i="5" s="1"/>
  <c r="K21" i="5" s="1"/>
  <c r="I22" i="5"/>
  <c r="J22" i="5" s="1"/>
  <c r="K22" i="5" s="1"/>
  <c r="I23" i="5"/>
  <c r="J23" i="5" s="1"/>
  <c r="K23" i="5" s="1"/>
  <c r="I24" i="5"/>
  <c r="J24" i="5" s="1"/>
  <c r="K24" i="5" s="1"/>
  <c r="I25" i="5"/>
  <c r="J25" i="5" s="1"/>
  <c r="K25" i="5" s="1"/>
  <c r="I26" i="5"/>
  <c r="J26" i="5" s="1"/>
  <c r="K26" i="5" s="1"/>
  <c r="I27" i="5"/>
  <c r="J27" i="5" s="1"/>
  <c r="K27" i="5" s="1"/>
  <c r="I28" i="5"/>
  <c r="J28" i="5" s="1"/>
  <c r="K28" i="5" s="1"/>
  <c r="I31" i="5"/>
  <c r="J31" i="5" s="1"/>
  <c r="K31" i="5" s="1"/>
  <c r="I8" i="5"/>
  <c r="E68" i="3"/>
  <c r="I22" i="3"/>
  <c r="M16" i="3"/>
  <c r="N16" i="3" s="1"/>
  <c r="M67" i="3"/>
  <c r="N67" i="3" s="1"/>
  <c r="M66" i="3"/>
  <c r="N66" i="3" s="1"/>
  <c r="M65" i="3"/>
  <c r="N65" i="3" s="1"/>
  <c r="M64" i="3"/>
  <c r="N64" i="3" s="1"/>
  <c r="M63" i="3"/>
  <c r="N63" i="3" s="1"/>
  <c r="M62" i="3"/>
  <c r="N62" i="3" s="1"/>
  <c r="M61" i="3"/>
  <c r="N61" i="3" s="1"/>
  <c r="M60" i="3"/>
  <c r="N60" i="3" s="1"/>
  <c r="M59" i="3"/>
  <c r="N59" i="3" s="1"/>
  <c r="M58" i="3"/>
  <c r="N58" i="3" s="1"/>
  <c r="M57" i="3"/>
  <c r="N57" i="3" s="1"/>
  <c r="M56" i="3"/>
  <c r="N56" i="3" s="1"/>
  <c r="M55" i="3"/>
  <c r="N55" i="3" s="1"/>
  <c r="M54" i="3"/>
  <c r="N54" i="3" s="1"/>
  <c r="M53" i="3"/>
  <c r="N53" i="3" s="1"/>
  <c r="M52" i="3"/>
  <c r="N52" i="3" s="1"/>
  <c r="M51" i="3"/>
  <c r="N51" i="3" s="1"/>
  <c r="M50" i="3"/>
  <c r="N50" i="3" s="1"/>
  <c r="M49" i="3"/>
  <c r="N49" i="3" s="1"/>
  <c r="M48" i="3"/>
  <c r="N48" i="3" s="1"/>
  <c r="M47" i="3"/>
  <c r="N47" i="3" s="1"/>
  <c r="M46" i="3"/>
  <c r="N46" i="3" s="1"/>
  <c r="M45" i="3"/>
  <c r="N45" i="3" s="1"/>
  <c r="M44" i="3"/>
  <c r="N44" i="3" s="1"/>
  <c r="M43" i="3"/>
  <c r="N43" i="3" s="1"/>
  <c r="M42" i="3"/>
  <c r="N42" i="3" s="1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N35" i="3" s="1"/>
  <c r="M34" i="3"/>
  <c r="N34" i="3" s="1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N27" i="3" s="1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7" i="2"/>
  <c r="O17" i="2" s="1"/>
  <c r="M19" i="2"/>
  <c r="M20" i="2"/>
  <c r="O20" i="2" s="1"/>
  <c r="M21" i="2"/>
  <c r="M22" i="2"/>
  <c r="M23" i="2"/>
  <c r="O23" i="2" s="1"/>
  <c r="M24" i="2"/>
  <c r="O24" i="2" s="1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O37" i="2" s="1"/>
  <c r="M38" i="2"/>
  <c r="M39" i="2"/>
  <c r="M40" i="2"/>
  <c r="O40" i="2" s="1"/>
  <c r="M41" i="2"/>
  <c r="M42" i="2"/>
  <c r="M43" i="2"/>
  <c r="O43" i="2" s="1"/>
  <c r="M44" i="2"/>
  <c r="O44" i="2" s="1"/>
  <c r="M45" i="2"/>
  <c r="M48" i="2"/>
  <c r="M49" i="2"/>
  <c r="O49" i="2" s="1"/>
  <c r="M50" i="2"/>
  <c r="O50" i="2" s="1"/>
  <c r="M51" i="2"/>
  <c r="M52" i="2"/>
  <c r="O52" i="2" s="1"/>
  <c r="M53" i="2"/>
  <c r="O53" i="2" s="1"/>
  <c r="M54" i="2"/>
  <c r="O54" i="2" s="1"/>
  <c r="M55" i="2"/>
  <c r="M56" i="2"/>
  <c r="O56" i="2" s="1"/>
  <c r="M57" i="2"/>
  <c r="O57" i="2" s="1"/>
  <c r="M58" i="2"/>
  <c r="O58" i="2" s="1"/>
  <c r="M59" i="2"/>
  <c r="M60" i="2"/>
  <c r="M61" i="2"/>
  <c r="O61" i="2" s="1"/>
  <c r="M62" i="2"/>
  <c r="O62" i="2" s="1"/>
  <c r="M63" i="2"/>
  <c r="O63" i="2" s="1"/>
  <c r="M64" i="2"/>
  <c r="M65" i="2"/>
  <c r="O65" i="2" s="1"/>
  <c r="M66" i="2"/>
  <c r="O66" i="2" s="1"/>
  <c r="M67" i="2"/>
  <c r="O67" i="2" s="1"/>
  <c r="M68" i="2"/>
  <c r="M69" i="2"/>
  <c r="M70" i="2"/>
  <c r="O70" i="2" s="1"/>
  <c r="M71" i="2"/>
  <c r="O71" i="2" s="1"/>
  <c r="M16" i="2"/>
  <c r="R56" i="5" l="1"/>
  <c r="S56" i="5" s="1"/>
  <c r="T56" i="5" s="1"/>
  <c r="U56" i="5" s="1"/>
  <c r="V56" i="5" s="1"/>
  <c r="M56" i="5"/>
  <c r="N56" i="5" s="1"/>
  <c r="O22" i="5"/>
  <c r="R22" i="5"/>
  <c r="S22" i="5" s="1"/>
  <c r="T22" i="5" s="1"/>
  <c r="U22" i="5" s="1"/>
  <c r="V22" i="5" s="1"/>
  <c r="M22" i="5"/>
  <c r="N22" i="5" s="1"/>
  <c r="S25" i="6"/>
  <c r="T25" i="6" s="1"/>
  <c r="U25" i="6" s="1"/>
  <c r="V25" i="6" s="1"/>
  <c r="W25" i="6" s="1"/>
  <c r="X25" i="6" s="1"/>
  <c r="P25" i="6"/>
  <c r="O25" i="6"/>
  <c r="R57" i="5"/>
  <c r="S57" i="5" s="1"/>
  <c r="T57" i="5" s="1"/>
  <c r="U57" i="5" s="1"/>
  <c r="V57" i="5" s="1"/>
  <c r="O57" i="5"/>
  <c r="M57" i="5"/>
  <c r="N57" i="5" s="1"/>
  <c r="R15" i="5"/>
  <c r="S15" i="5" s="1"/>
  <c r="T15" i="5" s="1"/>
  <c r="U15" i="5" s="1"/>
  <c r="V15" i="5" s="1"/>
  <c r="M15" i="5"/>
  <c r="N15" i="5" s="1"/>
  <c r="S32" i="6"/>
  <c r="T32" i="6" s="1"/>
  <c r="U32" i="6" s="1"/>
  <c r="V32" i="6" s="1"/>
  <c r="W32" i="6" s="1"/>
  <c r="X32" i="6" s="1"/>
  <c r="O32" i="6"/>
  <c r="P16" i="6"/>
  <c r="O16" i="6"/>
  <c r="S16" i="6"/>
  <c r="T16" i="6" s="1"/>
  <c r="U16" i="6" s="1"/>
  <c r="V16" i="6" s="1"/>
  <c r="W16" i="6" s="1"/>
  <c r="X16" i="6" s="1"/>
  <c r="R32" i="5"/>
  <c r="S32" i="5" s="1"/>
  <c r="T32" i="5" s="1"/>
  <c r="U32" i="5" s="1"/>
  <c r="V32" i="5" s="1"/>
  <c r="O32" i="5"/>
  <c r="M32" i="5"/>
  <c r="N32" i="5" s="1"/>
  <c r="O40" i="5"/>
  <c r="R40" i="5"/>
  <c r="S40" i="5" s="1"/>
  <c r="T40" i="5" s="1"/>
  <c r="U40" i="5" s="1"/>
  <c r="V40" i="5" s="1"/>
  <c r="M40" i="5"/>
  <c r="N40" i="5" s="1"/>
  <c r="R50" i="5"/>
  <c r="S50" i="5" s="1"/>
  <c r="T50" i="5" s="1"/>
  <c r="U50" i="5" s="1"/>
  <c r="V50" i="5" s="1"/>
  <c r="M50" i="5"/>
  <c r="N50" i="5" s="1"/>
  <c r="R58" i="5"/>
  <c r="S58" i="5" s="1"/>
  <c r="T58" i="5" s="1"/>
  <c r="U58" i="5" s="1"/>
  <c r="V58" i="5" s="1"/>
  <c r="O58" i="5"/>
  <c r="M58" i="5"/>
  <c r="N58" i="5" s="1"/>
  <c r="O16" i="5"/>
  <c r="R16" i="5"/>
  <c r="S16" i="5" s="1"/>
  <c r="T16" i="5" s="1"/>
  <c r="U16" i="5" s="1"/>
  <c r="V16" i="5" s="1"/>
  <c r="M16" i="5"/>
  <c r="N16" i="5" s="1"/>
  <c r="R24" i="5"/>
  <c r="S24" i="5" s="1"/>
  <c r="T24" i="5" s="1"/>
  <c r="U24" i="5" s="1"/>
  <c r="V24" i="5" s="1"/>
  <c r="M24" i="5"/>
  <c r="N24" i="5" s="1"/>
  <c r="S31" i="6"/>
  <c r="T31" i="6" s="1"/>
  <c r="U31" i="6" s="1"/>
  <c r="V31" i="6" s="1"/>
  <c r="W31" i="6" s="1"/>
  <c r="X31" i="6" s="1"/>
  <c r="O31" i="6"/>
  <c r="S23" i="6"/>
  <c r="T23" i="6" s="1"/>
  <c r="U23" i="6" s="1"/>
  <c r="V23" i="6" s="1"/>
  <c r="W23" i="6" s="1"/>
  <c r="X23" i="6" s="1"/>
  <c r="O23" i="6"/>
  <c r="P15" i="6"/>
  <c r="S15" i="6"/>
  <c r="T15" i="6" s="1"/>
  <c r="U15" i="6" s="1"/>
  <c r="V15" i="6" s="1"/>
  <c r="W15" i="6" s="1"/>
  <c r="X15" i="6" s="1"/>
  <c r="O15" i="6"/>
  <c r="R20" i="8"/>
  <c r="S20" i="8" s="1"/>
  <c r="T20" i="8" s="1"/>
  <c r="U20" i="8" s="1"/>
  <c r="V20" i="8" s="1"/>
  <c r="W20" i="8" s="1"/>
  <c r="X20" i="8" s="1"/>
  <c r="N20" i="8"/>
  <c r="P20" i="8" s="1"/>
  <c r="O20" i="8"/>
  <c r="O48" i="5"/>
  <c r="R48" i="5"/>
  <c r="S48" i="5" s="1"/>
  <c r="T48" i="5" s="1"/>
  <c r="U48" i="5" s="1"/>
  <c r="V48" i="5" s="1"/>
  <c r="M48" i="5"/>
  <c r="N48" i="5" s="1"/>
  <c r="R19" i="8"/>
  <c r="S19" i="8" s="1"/>
  <c r="T19" i="8" s="1"/>
  <c r="U19" i="8" s="1"/>
  <c r="V19" i="8" s="1"/>
  <c r="W19" i="8" s="1"/>
  <c r="X19" i="8" s="1"/>
  <c r="N19" i="8"/>
  <c r="P19" i="8" s="1"/>
  <c r="R39" i="5"/>
  <c r="S39" i="5" s="1"/>
  <c r="T39" i="5" s="1"/>
  <c r="U39" i="5" s="1"/>
  <c r="V39" i="5" s="1"/>
  <c r="M39" i="5"/>
  <c r="N39" i="5" s="1"/>
  <c r="O39" i="5"/>
  <c r="O49" i="5"/>
  <c r="R49" i="5"/>
  <c r="S49" i="5" s="1"/>
  <c r="T49" i="5" s="1"/>
  <c r="U49" i="5" s="1"/>
  <c r="V49" i="5" s="1"/>
  <c r="M49" i="5"/>
  <c r="N49" i="5" s="1"/>
  <c r="O23" i="5"/>
  <c r="R23" i="5"/>
  <c r="S23" i="5" s="1"/>
  <c r="T23" i="5" s="1"/>
  <c r="U23" i="5" s="1"/>
  <c r="V23" i="5" s="1"/>
  <c r="M23" i="5"/>
  <c r="N23" i="5" s="1"/>
  <c r="S24" i="6"/>
  <c r="T24" i="6" s="1"/>
  <c r="U24" i="6" s="1"/>
  <c r="V24" i="6" s="1"/>
  <c r="W24" i="6" s="1"/>
  <c r="X24" i="6" s="1"/>
  <c r="O24" i="6"/>
  <c r="P24" i="6"/>
  <c r="R13" i="8"/>
  <c r="N13" i="8"/>
  <c r="P13" i="8" s="1"/>
  <c r="L21" i="8"/>
  <c r="L22" i="8" s="1"/>
  <c r="R33" i="5"/>
  <c r="S33" i="5" s="1"/>
  <c r="T33" i="5" s="1"/>
  <c r="U33" i="5" s="1"/>
  <c r="V33" i="5" s="1"/>
  <c r="O33" i="5"/>
  <c r="M33" i="5"/>
  <c r="N33" i="5" s="1"/>
  <c r="R41" i="5"/>
  <c r="S41" i="5" s="1"/>
  <c r="T41" i="5" s="1"/>
  <c r="U41" i="5" s="1"/>
  <c r="V41" i="5" s="1"/>
  <c r="M41" i="5"/>
  <c r="N41" i="5" s="1"/>
  <c r="R51" i="5"/>
  <c r="S51" i="5" s="1"/>
  <c r="T51" i="5" s="1"/>
  <c r="U51" i="5" s="1"/>
  <c r="V51" i="5" s="1"/>
  <c r="O51" i="5"/>
  <c r="M51" i="5"/>
  <c r="N51" i="5" s="1"/>
  <c r="R59" i="5"/>
  <c r="S59" i="5" s="1"/>
  <c r="T59" i="5" s="1"/>
  <c r="U59" i="5" s="1"/>
  <c r="V59" i="5" s="1"/>
  <c r="M59" i="5"/>
  <c r="N59" i="5" s="1"/>
  <c r="R17" i="5"/>
  <c r="S17" i="5" s="1"/>
  <c r="T17" i="5" s="1"/>
  <c r="U17" i="5" s="1"/>
  <c r="V17" i="5" s="1"/>
  <c r="M17" i="5"/>
  <c r="N17" i="5" s="1"/>
  <c r="O17" i="5"/>
  <c r="R25" i="5"/>
  <c r="S25" i="5" s="1"/>
  <c r="T25" i="5" s="1"/>
  <c r="U25" i="5" s="1"/>
  <c r="V25" i="5" s="1"/>
  <c r="O25" i="5"/>
  <c r="M25" i="5"/>
  <c r="N25" i="5" s="1"/>
  <c r="S30" i="6"/>
  <c r="T30" i="6" s="1"/>
  <c r="U30" i="6" s="1"/>
  <c r="V30" i="6" s="1"/>
  <c r="W30" i="6" s="1"/>
  <c r="X30" i="6" s="1"/>
  <c r="P30" i="6"/>
  <c r="O30" i="6"/>
  <c r="S22" i="6"/>
  <c r="T22" i="6" s="1"/>
  <c r="U22" i="6" s="1"/>
  <c r="V22" i="6" s="1"/>
  <c r="W22" i="6" s="1"/>
  <c r="X22" i="6" s="1"/>
  <c r="O22" i="6"/>
  <c r="P14" i="6"/>
  <c r="S14" i="6"/>
  <c r="T14" i="6" s="1"/>
  <c r="U14" i="6" s="1"/>
  <c r="V14" i="6" s="1"/>
  <c r="W14" i="6" s="1"/>
  <c r="X14" i="6" s="1"/>
  <c r="N14" i="8"/>
  <c r="P14" i="8" s="1"/>
  <c r="R14" i="8"/>
  <c r="S14" i="8" s="1"/>
  <c r="T14" i="8" s="1"/>
  <c r="U14" i="8" s="1"/>
  <c r="V14" i="8" s="1"/>
  <c r="W14" i="8" s="1"/>
  <c r="X14" i="8" s="1"/>
  <c r="S17" i="6"/>
  <c r="T17" i="6" s="1"/>
  <c r="U17" i="6" s="1"/>
  <c r="V17" i="6" s="1"/>
  <c r="W17" i="6" s="1"/>
  <c r="X17" i="6" s="1"/>
  <c r="P17" i="6"/>
  <c r="O17" i="6"/>
  <c r="R42" i="5"/>
  <c r="S42" i="5" s="1"/>
  <c r="T42" i="5" s="1"/>
  <c r="U42" i="5" s="1"/>
  <c r="V42" i="5" s="1"/>
  <c r="O42" i="5"/>
  <c r="M42" i="5"/>
  <c r="N42" i="5" s="1"/>
  <c r="S21" i="6"/>
  <c r="T21" i="6" s="1"/>
  <c r="U21" i="6" s="1"/>
  <c r="V21" i="6" s="1"/>
  <c r="W21" i="6" s="1"/>
  <c r="X21" i="6" s="1"/>
  <c r="O21" i="6"/>
  <c r="P21" i="6"/>
  <c r="R15" i="8"/>
  <c r="S15" i="8" s="1"/>
  <c r="T15" i="8" s="1"/>
  <c r="U15" i="8" s="1"/>
  <c r="V15" i="8" s="1"/>
  <c r="W15" i="8" s="1"/>
  <c r="X15" i="8" s="1"/>
  <c r="N15" i="8"/>
  <c r="P15" i="8" s="1"/>
  <c r="O15" i="8"/>
  <c r="R35" i="5"/>
  <c r="S35" i="5" s="1"/>
  <c r="T35" i="5" s="1"/>
  <c r="U35" i="5" s="1"/>
  <c r="V35" i="5" s="1"/>
  <c r="M35" i="5"/>
  <c r="N35" i="5" s="1"/>
  <c r="R43" i="5"/>
  <c r="S43" i="5" s="1"/>
  <c r="T43" i="5" s="1"/>
  <c r="U43" i="5" s="1"/>
  <c r="V43" i="5" s="1"/>
  <c r="O43" i="5"/>
  <c r="M43" i="5"/>
  <c r="N43" i="5" s="1"/>
  <c r="R53" i="5"/>
  <c r="S53" i="5" s="1"/>
  <c r="T53" i="5" s="1"/>
  <c r="U53" i="5" s="1"/>
  <c r="V53" i="5" s="1"/>
  <c r="M53" i="5"/>
  <c r="N53" i="5" s="1"/>
  <c r="O61" i="5"/>
  <c r="R61" i="5"/>
  <c r="S61" i="5" s="1"/>
  <c r="T61" i="5" s="1"/>
  <c r="U61" i="5" s="1"/>
  <c r="V61" i="5" s="1"/>
  <c r="M61" i="5"/>
  <c r="N61" i="5" s="1"/>
  <c r="R19" i="5"/>
  <c r="S19" i="5" s="1"/>
  <c r="T19" i="5" s="1"/>
  <c r="U19" i="5" s="1"/>
  <c r="V19" i="5" s="1"/>
  <c r="O19" i="5"/>
  <c r="M19" i="5"/>
  <c r="N19" i="5" s="1"/>
  <c r="R27" i="5"/>
  <c r="S27" i="5" s="1"/>
  <c r="T27" i="5" s="1"/>
  <c r="U27" i="5" s="1"/>
  <c r="V27" i="5" s="1"/>
  <c r="M27" i="5"/>
  <c r="N27" i="5" s="1"/>
  <c r="P28" i="6"/>
  <c r="S28" i="6"/>
  <c r="T28" i="6" s="1"/>
  <c r="U28" i="6" s="1"/>
  <c r="V28" i="6" s="1"/>
  <c r="W28" i="6" s="1"/>
  <c r="X28" i="6" s="1"/>
  <c r="O28" i="6"/>
  <c r="S20" i="6"/>
  <c r="T20" i="6" s="1"/>
  <c r="U20" i="6" s="1"/>
  <c r="V20" i="6" s="1"/>
  <c r="W20" i="6" s="1"/>
  <c r="X20" i="6" s="1"/>
  <c r="O20" i="6"/>
  <c r="N16" i="8"/>
  <c r="P16" i="8" s="1"/>
  <c r="R16" i="8"/>
  <c r="S16" i="8" s="1"/>
  <c r="T16" i="8" s="1"/>
  <c r="U16" i="8" s="1"/>
  <c r="V16" i="8" s="1"/>
  <c r="W16" i="8" s="1"/>
  <c r="X16" i="8" s="1"/>
  <c r="R38" i="5"/>
  <c r="S38" i="5" s="1"/>
  <c r="T38" i="5" s="1"/>
  <c r="U38" i="5" s="1"/>
  <c r="V38" i="5" s="1"/>
  <c r="M38" i="5"/>
  <c r="N38" i="5" s="1"/>
  <c r="R14" i="5"/>
  <c r="L64" i="5"/>
  <c r="L65" i="5" s="1"/>
  <c r="M14" i="5"/>
  <c r="N14" i="5" s="1"/>
  <c r="O14" i="5"/>
  <c r="P33" i="6"/>
  <c r="S33" i="6"/>
  <c r="T33" i="6" s="1"/>
  <c r="U33" i="6" s="1"/>
  <c r="V33" i="6" s="1"/>
  <c r="W33" i="6" s="1"/>
  <c r="X33" i="6" s="1"/>
  <c r="O33" i="6"/>
  <c r="R52" i="5"/>
  <c r="S52" i="5" s="1"/>
  <c r="T52" i="5" s="1"/>
  <c r="U52" i="5" s="1"/>
  <c r="V52" i="5" s="1"/>
  <c r="O52" i="5"/>
  <c r="M52" i="5"/>
  <c r="N52" i="5" s="1"/>
  <c r="R26" i="5"/>
  <c r="S26" i="5" s="1"/>
  <c r="T26" i="5" s="1"/>
  <c r="U26" i="5" s="1"/>
  <c r="V26" i="5" s="1"/>
  <c r="M26" i="5"/>
  <c r="N26" i="5" s="1"/>
  <c r="O26" i="5"/>
  <c r="O36" i="5"/>
  <c r="R36" i="5"/>
  <c r="S36" i="5" s="1"/>
  <c r="T36" i="5" s="1"/>
  <c r="U36" i="5" s="1"/>
  <c r="V36" i="5" s="1"/>
  <c r="M36" i="5"/>
  <c r="N36" i="5" s="1"/>
  <c r="R44" i="5"/>
  <c r="S44" i="5" s="1"/>
  <c r="T44" i="5" s="1"/>
  <c r="U44" i="5" s="1"/>
  <c r="V44" i="5" s="1"/>
  <c r="M44" i="5"/>
  <c r="N44" i="5" s="1"/>
  <c r="R54" i="5"/>
  <c r="S54" i="5" s="1"/>
  <c r="T54" i="5" s="1"/>
  <c r="U54" i="5" s="1"/>
  <c r="V54" i="5" s="1"/>
  <c r="O54" i="5"/>
  <c r="M54" i="5"/>
  <c r="N54" i="5" s="1"/>
  <c r="R62" i="5"/>
  <c r="S62" i="5" s="1"/>
  <c r="T62" i="5" s="1"/>
  <c r="U62" i="5" s="1"/>
  <c r="V62" i="5" s="1"/>
  <c r="M62" i="5"/>
  <c r="N62" i="5" s="1"/>
  <c r="R20" i="5"/>
  <c r="S20" i="5" s="1"/>
  <c r="T20" i="5" s="1"/>
  <c r="U20" i="5" s="1"/>
  <c r="V20" i="5" s="1"/>
  <c r="O20" i="5"/>
  <c r="M20" i="5"/>
  <c r="N20" i="5" s="1"/>
  <c r="R28" i="5"/>
  <c r="S28" i="5" s="1"/>
  <c r="T28" i="5" s="1"/>
  <c r="U28" i="5" s="1"/>
  <c r="V28" i="5" s="1"/>
  <c r="O28" i="5"/>
  <c r="M28" i="5"/>
  <c r="N28" i="5" s="1"/>
  <c r="R31" i="5"/>
  <c r="S31" i="5" s="1"/>
  <c r="T31" i="5" s="1"/>
  <c r="U31" i="5" s="1"/>
  <c r="V31" i="5" s="1"/>
  <c r="O31" i="5"/>
  <c r="M31" i="5"/>
  <c r="N31" i="5" s="1"/>
  <c r="S13" i="6"/>
  <c r="P13" i="6"/>
  <c r="M35" i="6"/>
  <c r="M36" i="6" s="1"/>
  <c r="S27" i="6"/>
  <c r="T27" i="6" s="1"/>
  <c r="U27" i="6" s="1"/>
  <c r="V27" i="6" s="1"/>
  <c r="W27" i="6" s="1"/>
  <c r="X27" i="6" s="1"/>
  <c r="O27" i="6"/>
  <c r="S19" i="6"/>
  <c r="T19" i="6" s="1"/>
  <c r="U19" i="6" s="1"/>
  <c r="V19" i="6" s="1"/>
  <c r="W19" i="6" s="1"/>
  <c r="X19" i="6" s="1"/>
  <c r="P19" i="6"/>
  <c r="O19" i="6"/>
  <c r="R17" i="8"/>
  <c r="S17" i="8" s="1"/>
  <c r="T17" i="8" s="1"/>
  <c r="U17" i="8" s="1"/>
  <c r="V17" i="8" s="1"/>
  <c r="W17" i="8" s="1"/>
  <c r="X17" i="8" s="1"/>
  <c r="N17" i="8"/>
  <c r="P17" i="8" s="1"/>
  <c r="R34" i="5"/>
  <c r="S34" i="5" s="1"/>
  <c r="T34" i="5" s="1"/>
  <c r="U34" i="5" s="1"/>
  <c r="V34" i="5" s="1"/>
  <c r="O34" i="5"/>
  <c r="M34" i="5"/>
  <c r="N34" i="5" s="1"/>
  <c r="O60" i="5"/>
  <c r="R60" i="5"/>
  <c r="S60" i="5" s="1"/>
  <c r="T60" i="5" s="1"/>
  <c r="U60" i="5" s="1"/>
  <c r="V60" i="5" s="1"/>
  <c r="M60" i="5"/>
  <c r="N60" i="5" s="1"/>
  <c r="R18" i="5"/>
  <c r="S18" i="5" s="1"/>
  <c r="T18" i="5" s="1"/>
  <c r="U18" i="5" s="1"/>
  <c r="V18" i="5" s="1"/>
  <c r="M18" i="5"/>
  <c r="N18" i="5" s="1"/>
  <c r="S29" i="6"/>
  <c r="T29" i="6" s="1"/>
  <c r="U29" i="6" s="1"/>
  <c r="V29" i="6" s="1"/>
  <c r="W29" i="6" s="1"/>
  <c r="X29" i="6" s="1"/>
  <c r="O29" i="6"/>
  <c r="O37" i="5"/>
  <c r="R37" i="5"/>
  <c r="S37" i="5" s="1"/>
  <c r="T37" i="5" s="1"/>
  <c r="U37" i="5" s="1"/>
  <c r="V37" i="5" s="1"/>
  <c r="M37" i="5"/>
  <c r="N37" i="5" s="1"/>
  <c r="R45" i="5"/>
  <c r="S45" i="5" s="1"/>
  <c r="T45" i="5" s="1"/>
  <c r="U45" i="5" s="1"/>
  <c r="V45" i="5" s="1"/>
  <c r="O45" i="5"/>
  <c r="M45" i="5"/>
  <c r="N45" i="5" s="1"/>
  <c r="R55" i="5"/>
  <c r="S55" i="5" s="1"/>
  <c r="T55" i="5" s="1"/>
  <c r="U55" i="5" s="1"/>
  <c r="V55" i="5" s="1"/>
  <c r="O55" i="5"/>
  <c r="M55" i="5"/>
  <c r="N55" i="5" s="1"/>
  <c r="O63" i="5"/>
  <c r="R63" i="5"/>
  <c r="S63" i="5" s="1"/>
  <c r="T63" i="5" s="1"/>
  <c r="U63" i="5" s="1"/>
  <c r="V63" i="5" s="1"/>
  <c r="M63" i="5"/>
  <c r="N63" i="5" s="1"/>
  <c r="R21" i="5"/>
  <c r="S21" i="5" s="1"/>
  <c r="T21" i="5" s="1"/>
  <c r="U21" i="5" s="1"/>
  <c r="V21" i="5" s="1"/>
  <c r="M21" i="5"/>
  <c r="N21" i="5" s="1"/>
  <c r="S34" i="6"/>
  <c r="T34" i="6" s="1"/>
  <c r="U34" i="6" s="1"/>
  <c r="V34" i="6" s="1"/>
  <c r="W34" i="6" s="1"/>
  <c r="X34" i="6" s="1"/>
  <c r="P34" i="6"/>
  <c r="O34" i="6"/>
  <c r="S26" i="6"/>
  <c r="T26" i="6" s="1"/>
  <c r="U26" i="6" s="1"/>
  <c r="V26" i="6" s="1"/>
  <c r="W26" i="6" s="1"/>
  <c r="X26" i="6" s="1"/>
  <c r="O26" i="6"/>
  <c r="S18" i="6"/>
  <c r="T18" i="6" s="1"/>
  <c r="U18" i="6" s="1"/>
  <c r="V18" i="6" s="1"/>
  <c r="W18" i="6" s="1"/>
  <c r="X18" i="6" s="1"/>
  <c r="O18" i="6"/>
  <c r="R18" i="8"/>
  <c r="S18" i="8" s="1"/>
  <c r="T18" i="8" s="1"/>
  <c r="U18" i="8" s="1"/>
  <c r="V18" i="8" s="1"/>
  <c r="W18" i="8" s="1"/>
  <c r="X18" i="8" s="1"/>
  <c r="N18" i="8"/>
  <c r="P18" i="8" s="1"/>
  <c r="O18" i="8"/>
  <c r="K43" i="7"/>
  <c r="L35" i="6"/>
  <c r="K21" i="8"/>
  <c r="J22" i="3"/>
  <c r="K22" i="3" s="1"/>
  <c r="L22" i="3" s="1"/>
  <c r="K64" i="5"/>
  <c r="I29" i="3"/>
  <c r="I20" i="3"/>
  <c r="I67" i="3"/>
  <c r="I59" i="3"/>
  <c r="I51" i="3"/>
  <c r="I43" i="3"/>
  <c r="I35" i="3"/>
  <c r="I27" i="3"/>
  <c r="I19" i="3"/>
  <c r="I45" i="3"/>
  <c r="I28" i="3"/>
  <c r="I66" i="3"/>
  <c r="I58" i="3"/>
  <c r="I50" i="3"/>
  <c r="I42" i="3"/>
  <c r="I34" i="3"/>
  <c r="I26" i="3"/>
  <c r="I18" i="3"/>
  <c r="I61" i="3"/>
  <c r="I36" i="3"/>
  <c r="I65" i="3"/>
  <c r="I57" i="3"/>
  <c r="I49" i="3"/>
  <c r="I41" i="3"/>
  <c r="I33" i="3"/>
  <c r="I25" i="3"/>
  <c r="I17" i="3"/>
  <c r="I53" i="3"/>
  <c r="I44" i="3"/>
  <c r="I64" i="3"/>
  <c r="I56" i="3"/>
  <c r="I48" i="3"/>
  <c r="I40" i="3"/>
  <c r="I32" i="3"/>
  <c r="I24" i="3"/>
  <c r="I37" i="3"/>
  <c r="I52" i="3"/>
  <c r="I63" i="3"/>
  <c r="I55" i="3"/>
  <c r="I47" i="3"/>
  <c r="I39" i="3"/>
  <c r="I31" i="3"/>
  <c r="I23" i="3"/>
  <c r="I21" i="3"/>
  <c r="I60" i="3"/>
  <c r="I62" i="3"/>
  <c r="I54" i="3"/>
  <c r="I46" i="3"/>
  <c r="I38" i="3"/>
  <c r="I30" i="3"/>
  <c r="I8" i="2"/>
  <c r="I9" i="2" s="1"/>
  <c r="I26" i="2" s="1"/>
  <c r="J26" i="2" s="1"/>
  <c r="M37" i="6" l="1"/>
  <c r="L23" i="8"/>
  <c r="L66" i="5"/>
  <c r="R21" i="8"/>
  <c r="R22" i="8" s="1"/>
  <c r="R23" i="8" s="1"/>
  <c r="S13" i="8"/>
  <c r="T13" i="6"/>
  <c r="S35" i="6"/>
  <c r="S36" i="6" s="1"/>
  <c r="S37" i="6" s="1"/>
  <c r="S14" i="5"/>
  <c r="R64" i="5"/>
  <c r="R65" i="5" s="1"/>
  <c r="R66" i="5" s="1"/>
  <c r="J60" i="3"/>
  <c r="K60" i="3" s="1"/>
  <c r="L60" i="3" s="1"/>
  <c r="J21" i="3"/>
  <c r="K21" i="3" s="1"/>
  <c r="L21" i="3" s="1"/>
  <c r="J62" i="3"/>
  <c r="K62" i="3" s="1"/>
  <c r="L62" i="3" s="1"/>
  <c r="J49" i="3"/>
  <c r="K49" i="3" s="1"/>
  <c r="L49" i="3" s="1"/>
  <c r="J52" i="3"/>
  <c r="K52" i="3" s="1"/>
  <c r="L52" i="3" s="1"/>
  <c r="J65" i="3"/>
  <c r="K65" i="3" s="1"/>
  <c r="L65" i="3" s="1"/>
  <c r="J63" i="3"/>
  <c r="K63" i="3" s="1"/>
  <c r="L63" i="3" s="1"/>
  <c r="J42" i="3"/>
  <c r="K42" i="3" s="1"/>
  <c r="L42" i="3" s="1"/>
  <c r="J64" i="3"/>
  <c r="K64" i="3" s="1"/>
  <c r="L64" i="3" s="1"/>
  <c r="J50" i="3"/>
  <c r="K50" i="3" s="1"/>
  <c r="L50" i="3" s="1"/>
  <c r="J16" i="3"/>
  <c r="K16" i="3" s="1"/>
  <c r="L16" i="3" s="1"/>
  <c r="J51" i="3"/>
  <c r="K51" i="3" s="1"/>
  <c r="L51" i="3" s="1"/>
  <c r="J23" i="3"/>
  <c r="K23" i="3" s="1"/>
  <c r="L23" i="3" s="1"/>
  <c r="J36" i="3"/>
  <c r="K36" i="3" s="1"/>
  <c r="L36" i="3" s="1"/>
  <c r="J59" i="3"/>
  <c r="K59" i="3" s="1"/>
  <c r="L59" i="3" s="1"/>
  <c r="J31" i="3"/>
  <c r="K31" i="3" s="1"/>
  <c r="L31" i="3" s="1"/>
  <c r="J17" i="3"/>
  <c r="K17" i="3" s="1"/>
  <c r="L17" i="3" s="1"/>
  <c r="J28" i="3"/>
  <c r="K28" i="3" s="1"/>
  <c r="L28" i="3" s="1"/>
  <c r="J38" i="3"/>
  <c r="K38" i="3" s="1"/>
  <c r="L38" i="3" s="1"/>
  <c r="J32" i="3"/>
  <c r="K32" i="3" s="1"/>
  <c r="L32" i="3" s="1"/>
  <c r="J18" i="3"/>
  <c r="K18" i="3" s="1"/>
  <c r="L18" i="3" s="1"/>
  <c r="J45" i="3"/>
  <c r="K45" i="3" s="1"/>
  <c r="L45" i="3" s="1"/>
  <c r="J20" i="3"/>
  <c r="K20" i="3" s="1"/>
  <c r="L20" i="3" s="1"/>
  <c r="J46" i="3"/>
  <c r="K46" i="3" s="1"/>
  <c r="L46" i="3" s="1"/>
  <c r="J47" i="3"/>
  <c r="K47" i="3" s="1"/>
  <c r="L47" i="3" s="1"/>
  <c r="J40" i="3"/>
  <c r="K40" i="3" s="1"/>
  <c r="L40" i="3" s="1"/>
  <c r="J33" i="3"/>
  <c r="K33" i="3" s="1"/>
  <c r="L33" i="3" s="1"/>
  <c r="J26" i="3"/>
  <c r="K26" i="3" s="1"/>
  <c r="L26" i="3" s="1"/>
  <c r="J19" i="3"/>
  <c r="K19" i="3" s="1"/>
  <c r="L19" i="3" s="1"/>
  <c r="J29" i="3"/>
  <c r="K29" i="3" s="1"/>
  <c r="L29" i="3" s="1"/>
  <c r="J56" i="3"/>
  <c r="K56" i="3" s="1"/>
  <c r="L56" i="3" s="1"/>
  <c r="J35" i="3"/>
  <c r="K35" i="3" s="1"/>
  <c r="L35" i="3" s="1"/>
  <c r="J57" i="3"/>
  <c r="K57" i="3" s="1"/>
  <c r="L57" i="3" s="1"/>
  <c r="J43" i="3"/>
  <c r="K43" i="3" s="1"/>
  <c r="L43" i="3" s="1"/>
  <c r="J44" i="3"/>
  <c r="K44" i="3" s="1"/>
  <c r="L44" i="3" s="1"/>
  <c r="J58" i="3"/>
  <c r="K58" i="3" s="1"/>
  <c r="L58" i="3" s="1"/>
  <c r="J37" i="3"/>
  <c r="K37" i="3" s="1"/>
  <c r="L37" i="3" s="1"/>
  <c r="J53" i="3"/>
  <c r="K53" i="3" s="1"/>
  <c r="L53" i="3" s="1"/>
  <c r="J66" i="3"/>
  <c r="K66" i="3" s="1"/>
  <c r="L66" i="3" s="1"/>
  <c r="J30" i="3"/>
  <c r="K30" i="3" s="1"/>
  <c r="L30" i="3" s="1"/>
  <c r="J24" i="3"/>
  <c r="K24" i="3" s="1"/>
  <c r="L24" i="3" s="1"/>
  <c r="J61" i="3"/>
  <c r="K61" i="3" s="1"/>
  <c r="L61" i="3" s="1"/>
  <c r="J67" i="3"/>
  <c r="K67" i="3" s="1"/>
  <c r="L67" i="3" s="1"/>
  <c r="J39" i="3"/>
  <c r="K39" i="3" s="1"/>
  <c r="L39" i="3" s="1"/>
  <c r="J25" i="3"/>
  <c r="K25" i="3" s="1"/>
  <c r="L25" i="3" s="1"/>
  <c r="J54" i="3"/>
  <c r="K54" i="3" s="1"/>
  <c r="L54" i="3" s="1"/>
  <c r="J55" i="3"/>
  <c r="K55" i="3" s="1"/>
  <c r="L55" i="3" s="1"/>
  <c r="J48" i="3"/>
  <c r="K48" i="3" s="1"/>
  <c r="L48" i="3" s="1"/>
  <c r="J41" i="3"/>
  <c r="K41" i="3" s="1"/>
  <c r="L41" i="3" s="1"/>
  <c r="J34" i="3"/>
  <c r="K34" i="3" s="1"/>
  <c r="L34" i="3" s="1"/>
  <c r="J27" i="3"/>
  <c r="K27" i="3" s="1"/>
  <c r="L27" i="3" s="1"/>
  <c r="I36" i="2"/>
  <c r="I51" i="2"/>
  <c r="J51" i="2" s="1"/>
  <c r="K51" i="2" s="1"/>
  <c r="L51" i="2" s="1"/>
  <c r="N51" i="2" s="1"/>
  <c r="O51" i="2" s="1"/>
  <c r="I23" i="2"/>
  <c r="J23" i="2" s="1"/>
  <c r="K23" i="2" s="1"/>
  <c r="L23" i="2" s="1"/>
  <c r="N23" i="2" s="1"/>
  <c r="I19" i="2"/>
  <c r="I22" i="2"/>
  <c r="I18" i="2"/>
  <c r="I68" i="2"/>
  <c r="J68" i="2" s="1"/>
  <c r="K68" i="2" s="1"/>
  <c r="L68" i="2" s="1"/>
  <c r="N68" i="2" s="1"/>
  <c r="O68" i="2" s="1"/>
  <c r="I71" i="2"/>
  <c r="I67" i="2"/>
  <c r="I28" i="2"/>
  <c r="J28" i="2" s="1"/>
  <c r="K28" i="2" s="1"/>
  <c r="L28" i="2" s="1"/>
  <c r="N28" i="2" s="1"/>
  <c r="O28" i="2" s="1"/>
  <c r="I32" i="2"/>
  <c r="I21" i="2"/>
  <c r="I65" i="2"/>
  <c r="J65" i="2" s="1"/>
  <c r="K65" i="2" s="1"/>
  <c r="L65" i="2" s="1"/>
  <c r="N65" i="2" s="1"/>
  <c r="I20" i="2"/>
  <c r="J20" i="2" s="1"/>
  <c r="K20" i="2" s="1"/>
  <c r="L20" i="2" s="1"/>
  <c r="N20" i="2" s="1"/>
  <c r="I41" i="2"/>
  <c r="J41" i="2" s="1"/>
  <c r="K41" i="2" s="1"/>
  <c r="L41" i="2" s="1"/>
  <c r="N41" i="2" s="1"/>
  <c r="O41" i="2" s="1"/>
  <c r="I53" i="2"/>
  <c r="I56" i="2"/>
  <c r="I43" i="2"/>
  <c r="J43" i="2" s="1"/>
  <c r="K43" i="2" s="1"/>
  <c r="L43" i="2" s="1"/>
  <c r="N43" i="2" s="1"/>
  <c r="I42" i="2"/>
  <c r="I25" i="2"/>
  <c r="I37" i="2"/>
  <c r="I66" i="2"/>
  <c r="I29" i="2"/>
  <c r="J29" i="2" s="1"/>
  <c r="K29" i="2" s="1"/>
  <c r="L29" i="2" s="1"/>
  <c r="N29" i="2" s="1"/>
  <c r="O29" i="2" s="1"/>
  <c r="I40" i="2"/>
  <c r="I69" i="2"/>
  <c r="I24" i="2"/>
  <c r="J24" i="2" s="1"/>
  <c r="K24" i="2" s="1"/>
  <c r="L24" i="2" s="1"/>
  <c r="N24" i="2" s="1"/>
  <c r="I60" i="2"/>
  <c r="I64" i="2"/>
  <c r="I70" i="2"/>
  <c r="I33" i="2"/>
  <c r="I63" i="2"/>
  <c r="J63" i="2" s="1"/>
  <c r="K63" i="2" s="1"/>
  <c r="L63" i="2" s="1"/>
  <c r="N63" i="2" s="1"/>
  <c r="I39" i="2"/>
  <c r="I48" i="2"/>
  <c r="I55" i="2"/>
  <c r="I54" i="2"/>
  <c r="J54" i="2" s="1"/>
  <c r="K54" i="2" s="1"/>
  <c r="L54" i="2" s="1"/>
  <c r="N54" i="2" s="1"/>
  <c r="I35" i="2"/>
  <c r="I34" i="2"/>
  <c r="I17" i="2"/>
  <c r="I30" i="2"/>
  <c r="I58" i="2"/>
  <c r="I59" i="2"/>
  <c r="I50" i="2"/>
  <c r="J50" i="2" s="1"/>
  <c r="K50" i="2" s="1"/>
  <c r="L50" i="2" s="1"/>
  <c r="N50" i="2" s="1"/>
  <c r="I16" i="2"/>
  <c r="J16" i="2" s="1"/>
  <c r="K16" i="2" s="1"/>
  <c r="L16" i="2" s="1"/>
  <c r="I61" i="2"/>
  <c r="I57" i="2"/>
  <c r="I52" i="2"/>
  <c r="I49" i="2"/>
  <c r="J49" i="2" s="1"/>
  <c r="K49" i="2" s="1"/>
  <c r="L49" i="2" s="1"/>
  <c r="N49" i="2" s="1"/>
  <c r="I62" i="2"/>
  <c r="I31" i="2"/>
  <c r="I38" i="2"/>
  <c r="J38" i="2" s="1"/>
  <c r="K38" i="2" s="1"/>
  <c r="L38" i="2" s="1"/>
  <c r="N38" i="2" s="1"/>
  <c r="O38" i="2" s="1"/>
  <c r="I45" i="2"/>
  <c r="I44" i="2"/>
  <c r="I27" i="2"/>
  <c r="K26" i="2"/>
  <c r="L26" i="2" s="1"/>
  <c r="N26" i="2" s="1"/>
  <c r="O26" i="2" s="1"/>
  <c r="T14" i="5" l="1"/>
  <c r="S64" i="5"/>
  <c r="S65" i="5" s="1"/>
  <c r="S66" i="5" s="1"/>
  <c r="U13" i="6"/>
  <c r="T35" i="6"/>
  <c r="T36" i="6" s="1"/>
  <c r="T37" i="6" s="1"/>
  <c r="S21" i="8"/>
  <c r="S22" i="8" s="1"/>
  <c r="S23" i="8" s="1"/>
  <c r="T13" i="8"/>
  <c r="N16" i="2"/>
  <c r="O16" i="2"/>
  <c r="J44" i="2"/>
  <c r="K44" i="2" s="1"/>
  <c r="L44" i="2" s="1"/>
  <c r="N44" i="2" s="1"/>
  <c r="J61" i="2"/>
  <c r="K61" i="2" s="1"/>
  <c r="L61" i="2" s="1"/>
  <c r="N61" i="2" s="1"/>
  <c r="J35" i="2"/>
  <c r="K35" i="2" s="1"/>
  <c r="L35" i="2" s="1"/>
  <c r="N35" i="2" s="1"/>
  <c r="O35" i="2" s="1"/>
  <c r="J64" i="2"/>
  <c r="K64" i="2" s="1"/>
  <c r="L64" i="2" s="1"/>
  <c r="N64" i="2" s="1"/>
  <c r="O64" i="2" s="1"/>
  <c r="J25" i="2"/>
  <c r="K25" i="2" s="1"/>
  <c r="L25" i="2" s="1"/>
  <c r="N25" i="2" s="1"/>
  <c r="O25" i="2" s="1"/>
  <c r="J21" i="2"/>
  <c r="K21" i="2" s="1"/>
  <c r="L21" i="2" s="1"/>
  <c r="N21" i="2" s="1"/>
  <c r="O21" i="2" s="1"/>
  <c r="J19" i="2"/>
  <c r="K19" i="2" s="1"/>
  <c r="L19" i="2" s="1"/>
  <c r="J34" i="2"/>
  <c r="K34" i="2" s="1"/>
  <c r="L34" i="2" s="1"/>
  <c r="N34" i="2" s="1"/>
  <c r="O34" i="2" s="1"/>
  <c r="J45" i="2"/>
  <c r="K45" i="2" s="1"/>
  <c r="L45" i="2" s="1"/>
  <c r="N45" i="2" s="1"/>
  <c r="O45" i="2" s="1"/>
  <c r="J60" i="2"/>
  <c r="K60" i="2" s="1"/>
  <c r="L60" i="2" s="1"/>
  <c r="N60" i="2" s="1"/>
  <c r="O60" i="2" s="1"/>
  <c r="J42" i="2"/>
  <c r="K42" i="2" s="1"/>
  <c r="L42" i="2" s="1"/>
  <c r="J32" i="2"/>
  <c r="K32" i="2" s="1"/>
  <c r="L32" i="2" s="1"/>
  <c r="N32" i="2" s="1"/>
  <c r="O32" i="2" s="1"/>
  <c r="J27" i="2"/>
  <c r="K27" i="2" s="1"/>
  <c r="L27" i="2" s="1"/>
  <c r="N27" i="2" s="1"/>
  <c r="O27" i="2" s="1"/>
  <c r="J55" i="2"/>
  <c r="K55" i="2" s="1"/>
  <c r="L55" i="2" s="1"/>
  <c r="N55" i="2" s="1"/>
  <c r="O55" i="2" s="1"/>
  <c r="J57" i="2"/>
  <c r="K57" i="2" s="1"/>
  <c r="L57" i="2" s="1"/>
  <c r="N57" i="2" s="1"/>
  <c r="J31" i="2"/>
  <c r="K31" i="2" s="1"/>
  <c r="L31" i="2" s="1"/>
  <c r="J59" i="2"/>
  <c r="K59" i="2" s="1"/>
  <c r="L59" i="2" s="1"/>
  <c r="N59" i="2" s="1"/>
  <c r="O59" i="2" s="1"/>
  <c r="J48" i="2"/>
  <c r="K48" i="2" s="1"/>
  <c r="L48" i="2" s="1"/>
  <c r="N48" i="2" s="1"/>
  <c r="O48" i="2" s="1"/>
  <c r="J69" i="2"/>
  <c r="K69" i="2" s="1"/>
  <c r="L69" i="2" s="1"/>
  <c r="N69" i="2" s="1"/>
  <c r="O69" i="2" s="1"/>
  <c r="J56" i="2"/>
  <c r="K56" i="2" s="1"/>
  <c r="L56" i="2" s="1"/>
  <c r="N56" i="2" s="1"/>
  <c r="J67" i="2"/>
  <c r="K67" i="2" s="1"/>
  <c r="L67" i="2" s="1"/>
  <c r="N67" i="2" s="1"/>
  <c r="J36" i="2"/>
  <c r="K36" i="2" s="1"/>
  <c r="L36" i="2" s="1"/>
  <c r="N36" i="2" s="1"/>
  <c r="O36" i="2" s="1"/>
  <c r="J70" i="2"/>
  <c r="K70" i="2" s="1"/>
  <c r="L70" i="2" s="1"/>
  <c r="N70" i="2" s="1"/>
  <c r="J22" i="2"/>
  <c r="K22" i="2" s="1"/>
  <c r="L22" i="2" s="1"/>
  <c r="N22" i="2" s="1"/>
  <c r="O22" i="2" s="1"/>
  <c r="J62" i="2"/>
  <c r="K62" i="2" s="1"/>
  <c r="L62" i="2" s="1"/>
  <c r="N62" i="2" s="1"/>
  <c r="J58" i="2"/>
  <c r="K58" i="2" s="1"/>
  <c r="L58" i="2" s="1"/>
  <c r="N58" i="2" s="1"/>
  <c r="J39" i="2"/>
  <c r="K39" i="2" s="1"/>
  <c r="L39" i="2" s="1"/>
  <c r="N39" i="2" s="1"/>
  <c r="O39" i="2" s="1"/>
  <c r="J40" i="2"/>
  <c r="K40" i="2" s="1"/>
  <c r="L40" i="2" s="1"/>
  <c r="N40" i="2" s="1"/>
  <c r="J53" i="2"/>
  <c r="K53" i="2" s="1"/>
  <c r="L53" i="2" s="1"/>
  <c r="N53" i="2" s="1"/>
  <c r="J71" i="2"/>
  <c r="K71" i="2" s="1"/>
  <c r="L71" i="2" s="1"/>
  <c r="N71" i="2" s="1"/>
  <c r="J37" i="2"/>
  <c r="K37" i="2" s="1"/>
  <c r="L37" i="2" s="1"/>
  <c r="N37" i="2" s="1"/>
  <c r="J30" i="2"/>
  <c r="K30" i="2" s="1"/>
  <c r="L30" i="2" s="1"/>
  <c r="N30" i="2" s="1"/>
  <c r="O30" i="2" s="1"/>
  <c r="J52" i="2"/>
  <c r="K52" i="2" s="1"/>
  <c r="L52" i="2" s="1"/>
  <c r="N52" i="2" s="1"/>
  <c r="J17" i="2"/>
  <c r="K17" i="2" s="1"/>
  <c r="L17" i="2" s="1"/>
  <c r="N17" i="2" s="1"/>
  <c r="J33" i="2"/>
  <c r="K33" i="2" s="1"/>
  <c r="L33" i="2" s="1"/>
  <c r="N33" i="2" s="1"/>
  <c r="O33" i="2" s="1"/>
  <c r="J66" i="2"/>
  <c r="K66" i="2" s="1"/>
  <c r="L66" i="2" s="1"/>
  <c r="N66" i="2" s="1"/>
  <c r="J18" i="2"/>
  <c r="K18" i="2" s="1"/>
  <c r="L18" i="2" s="1"/>
  <c r="N18" i="2" s="1"/>
  <c r="T21" i="8" l="1"/>
  <c r="U13" i="8"/>
  <c r="V13" i="6"/>
  <c r="U35" i="6"/>
  <c r="T64" i="5"/>
  <c r="T65" i="5" s="1"/>
  <c r="T66" i="5" s="1"/>
  <c r="U14" i="5"/>
  <c r="N42" i="2"/>
  <c r="O42" i="2"/>
  <c r="N31" i="2"/>
  <c r="O31" i="2"/>
  <c r="N19" i="2"/>
  <c r="O19" i="2"/>
  <c r="U36" i="6" l="1"/>
  <c r="U37" i="6" s="1"/>
  <c r="W13" i="6"/>
  <c r="V35" i="6"/>
  <c r="V36" i="6" s="1"/>
  <c r="V37" i="6" s="1"/>
  <c r="V13" i="8"/>
  <c r="U21" i="8"/>
  <c r="U22" i="8" s="1"/>
  <c r="U23" i="8" s="1"/>
  <c r="V14" i="5"/>
  <c r="V64" i="5" s="1"/>
  <c r="U64" i="5"/>
  <c r="U65" i="5" s="1"/>
  <c r="U66" i="5" s="1"/>
  <c r="T22" i="8"/>
  <c r="T23" i="8" s="1"/>
  <c r="O72" i="2"/>
  <c r="V65" i="5" l="1"/>
  <c r="V66" i="5" s="1"/>
  <c r="W13" i="8"/>
  <c r="V21" i="8"/>
  <c r="X13" i="6"/>
  <c r="X35" i="6" s="1"/>
  <c r="W35" i="6"/>
  <c r="W36" i="6" s="1"/>
  <c r="W37" i="6" s="1"/>
  <c r="X36" i="6" l="1"/>
  <c r="X37" i="6" s="1"/>
  <c r="V22" i="8"/>
  <c r="V23" i="8" s="1"/>
  <c r="X13" i="8"/>
  <c r="X21" i="8" s="1"/>
  <c r="W21" i="8"/>
  <c r="W22" i="8" s="1"/>
  <c r="W23" i="8" s="1"/>
  <c r="X22" i="8" l="1"/>
  <c r="X23" i="8" s="1"/>
</calcChain>
</file>

<file path=xl/sharedStrings.xml><?xml version="1.0" encoding="utf-8"?>
<sst xmlns="http://schemas.openxmlformats.org/spreadsheetml/2006/main" count="881" uniqueCount="373">
  <si>
    <t>Byt</t>
  </si>
  <si>
    <t>Nájomnik</t>
  </si>
  <si>
    <t>Nájomné</t>
  </si>
  <si>
    <t>Obytná</t>
  </si>
  <si>
    <t>Vedľajšia</t>
  </si>
  <si>
    <t>Izbov.</t>
  </si>
  <si>
    <t>celkom</t>
  </si>
  <si>
    <t>plocha</t>
  </si>
  <si>
    <t>VOLNY</t>
  </si>
  <si>
    <t>0+2</t>
  </si>
  <si>
    <t>LACKOVA V.</t>
  </si>
  <si>
    <t>0+3</t>
  </si>
  <si>
    <t>BENKO M.</t>
  </si>
  <si>
    <t>ZIBUROVA I.</t>
  </si>
  <si>
    <t>SMOLKA Z.</t>
  </si>
  <si>
    <t>HARACHOVA M.</t>
  </si>
  <si>
    <t>SKVAREKOVA P.</t>
  </si>
  <si>
    <t>GATIALOVA A.</t>
  </si>
  <si>
    <t>TADIAL J.</t>
  </si>
  <si>
    <t>GROSOVA E.</t>
  </si>
  <si>
    <t>LISYOVA M.</t>
  </si>
  <si>
    <t>SCHNIERER P.</t>
  </si>
  <si>
    <t>PAPAYOVA M.</t>
  </si>
  <si>
    <t>ZIKAVSKA M.</t>
  </si>
  <si>
    <t>GROSSOVA M.</t>
  </si>
  <si>
    <t>VALENTINOVA M.</t>
  </si>
  <si>
    <t>JESTREBSKY S.</t>
  </si>
  <si>
    <t>LENHART M.</t>
  </si>
  <si>
    <t>PYTEL M.</t>
  </si>
  <si>
    <t>DANIS J.</t>
  </si>
  <si>
    <t>MAZANIKOVA M.</t>
  </si>
  <si>
    <t>KOPAL V.</t>
  </si>
  <si>
    <t>STEFAN J.</t>
  </si>
  <si>
    <t>BALAZOVA Z.</t>
  </si>
  <si>
    <t>BRAND J.</t>
  </si>
  <si>
    <t>CINA M.</t>
  </si>
  <si>
    <t>TADIALOVA P.</t>
  </si>
  <si>
    <t>GREGOROVA R.</t>
  </si>
  <si>
    <t>INDRYCH J.</t>
  </si>
  <si>
    <t>FRNKOVA V.</t>
  </si>
  <si>
    <t>HOLUBOVA M.</t>
  </si>
  <si>
    <t>BAGINOVA N.</t>
  </si>
  <si>
    <t>BOBOKOVA J.</t>
  </si>
  <si>
    <t>BALAZOVA B.</t>
  </si>
  <si>
    <t>MESTO P.</t>
  </si>
  <si>
    <t>DONCHENKO Y.</t>
  </si>
  <si>
    <t>HRYHORIEVA Y.</t>
  </si>
  <si>
    <t>ERDOSOVA L.</t>
  </si>
  <si>
    <t>GALISOVA I.</t>
  </si>
  <si>
    <t>ZAHUMENSKA J.</t>
  </si>
  <si>
    <t>BALKO A.</t>
  </si>
  <si>
    <t>HLIVOVA G.</t>
  </si>
  <si>
    <t>BARINCOVA Z.</t>
  </si>
  <si>
    <t>DURKOVE M.</t>
  </si>
  <si>
    <t>BLAZYOVA M.</t>
  </si>
  <si>
    <t>1+3</t>
  </si>
  <si>
    <t>NECHALOVA K.</t>
  </si>
  <si>
    <t>1+1</t>
  </si>
  <si>
    <t>URBAN R.</t>
  </si>
  <si>
    <t>1+2</t>
  </si>
  <si>
    <t>PAVLAK M.</t>
  </si>
  <si>
    <t>NEMETHOVA G.</t>
  </si>
  <si>
    <t>KOLLAROVA D.</t>
  </si>
  <si>
    <t>KNAZ V.</t>
  </si>
  <si>
    <t>BILLA K.</t>
  </si>
  <si>
    <t>FARARIK J.</t>
  </si>
  <si>
    <t>LACKOVICOVA R.</t>
  </si>
  <si>
    <t>CUGOVA M.</t>
  </si>
  <si>
    <t>PETKOVSKA A.</t>
  </si>
  <si>
    <t>ZAMBOVA M.</t>
  </si>
  <si>
    <t>KIKUS D.</t>
  </si>
  <si>
    <t>MARTONKOVA A.</t>
  </si>
  <si>
    <t>ANDRASIOVA A.</t>
  </si>
  <si>
    <t>ING. KUCKOVA M.</t>
  </si>
  <si>
    <t>PILCHOVA D.</t>
  </si>
  <si>
    <t>PAVECOVA M.</t>
  </si>
  <si>
    <t>SABO P.</t>
  </si>
  <si>
    <t>MOLNAR L.</t>
  </si>
  <si>
    <t>BRIATKOVA Z.</t>
  </si>
  <si>
    <t>MALACHOVSKA F.</t>
  </si>
  <si>
    <t>OREM P.</t>
  </si>
  <si>
    <t>BC ZIBEKOVA H.</t>
  </si>
  <si>
    <t>PHDR. HAJNOVIC D.</t>
  </si>
  <si>
    <t>PECHOVA M.</t>
  </si>
  <si>
    <t>SMIDA J.</t>
  </si>
  <si>
    <t>TESOVICOVA M.</t>
  </si>
  <si>
    <t>GRANECOVA E.</t>
  </si>
  <si>
    <t>KOVACIKOVA Z.</t>
  </si>
  <si>
    <t>PROSOVA A.</t>
  </si>
  <si>
    <t>BIROVA B.</t>
  </si>
  <si>
    <t>TURZIKOVA S.</t>
  </si>
  <si>
    <t>POLIACIKOVA E.</t>
  </si>
  <si>
    <t>CICMANCOVA I.</t>
  </si>
  <si>
    <t>SZIBILLA L.</t>
  </si>
  <si>
    <t>MEKISOVA M.</t>
  </si>
  <si>
    <t>BILLA J.</t>
  </si>
  <si>
    <t>CAGAN B.</t>
  </si>
  <si>
    <t>HUDEC M.</t>
  </si>
  <si>
    <t>SORAD M.</t>
  </si>
  <si>
    <t>ZACHAROVA J.</t>
  </si>
  <si>
    <t>DOHNALEKOVA M.</t>
  </si>
  <si>
    <t>PETIASOVA J.</t>
  </si>
  <si>
    <t>0+1</t>
  </si>
  <si>
    <t>ENERGETIKOV 37</t>
  </si>
  <si>
    <t>CIBULOVA D.</t>
  </si>
  <si>
    <t>STILHAMMEROVA E.</t>
  </si>
  <si>
    <t>LEPORISOVA G.</t>
  </si>
  <si>
    <t>ZAVODSKA J.</t>
  </si>
  <si>
    <t>LISKOVA D.</t>
  </si>
  <si>
    <t>MAJERNIKOVA L.</t>
  </si>
  <si>
    <t>GREGUSOVA Z.</t>
  </si>
  <si>
    <t>HLASNA E.</t>
  </si>
  <si>
    <t>DUCHONOVA S.</t>
  </si>
  <si>
    <t>PEKAROVA E.</t>
  </si>
  <si>
    <t>STANGA R.</t>
  </si>
  <si>
    <t>VOJCIK M.</t>
  </si>
  <si>
    <t>VYSOTINA A.</t>
  </si>
  <si>
    <t>SEVCIKOVA A.</t>
  </si>
  <si>
    <t>NAMESNA A.</t>
  </si>
  <si>
    <t>1+0</t>
  </si>
  <si>
    <t>BÍLIKOVA I.</t>
  </si>
  <si>
    <t>LENHARDT B.</t>
  </si>
  <si>
    <t>LUKACOVA E.</t>
  </si>
  <si>
    <t>JURICKOVA M.</t>
  </si>
  <si>
    <t>MACINOVA A.</t>
  </si>
  <si>
    <t>SONDOROVA L.</t>
  </si>
  <si>
    <t>MAREKOVA N.</t>
  </si>
  <si>
    <t>STEFANEKOVA M.</t>
  </si>
  <si>
    <t>SIKELOVA V.</t>
  </si>
  <si>
    <t>GALBOVA E.</t>
  </si>
  <si>
    <t>BENADIK J.</t>
  </si>
  <si>
    <t>ANTOL F.</t>
  </si>
  <si>
    <t>BELIANSKY M.</t>
  </si>
  <si>
    <t>RAFAELOVA D.</t>
  </si>
  <si>
    <t>LISYOVA V.</t>
  </si>
  <si>
    <t>GAJDOS J.</t>
  </si>
  <si>
    <t>BALAZ D.</t>
  </si>
  <si>
    <t>SUMANOVA A.</t>
  </si>
  <si>
    <t>BALAZOVA D.</t>
  </si>
  <si>
    <t>BALAZOVA N.</t>
  </si>
  <si>
    <t>ING. SPAC M.</t>
  </si>
  <si>
    <t>ADAMCOVA M.</t>
  </si>
  <si>
    <t>HERAKOVA I.</t>
  </si>
  <si>
    <t>ACS L.</t>
  </si>
  <si>
    <t>BELAGYIOVA H.</t>
  </si>
  <si>
    <t>LAUKO J.</t>
  </si>
  <si>
    <t>RADICOVA M.</t>
  </si>
  <si>
    <t>DOVALOVSKA Z.</t>
  </si>
  <si>
    <t>FRANKO L.</t>
  </si>
  <si>
    <t>BALAZ S.</t>
  </si>
  <si>
    <t>CSEMER A.</t>
  </si>
  <si>
    <t>CSICSO K.</t>
  </si>
  <si>
    <t>RADICOVA L.</t>
  </si>
  <si>
    <t>CSEMEROVA R.</t>
  </si>
  <si>
    <t>KAJSIK M.</t>
  </si>
  <si>
    <t>BALAZ M.</t>
  </si>
  <si>
    <t>HORVATHOVA M.</t>
  </si>
  <si>
    <t>KURICOVA Z.</t>
  </si>
  <si>
    <t>SARKOZY J.</t>
  </si>
  <si>
    <t>DOVALOVSKA D.</t>
  </si>
  <si>
    <t>LISYOVA N.</t>
  </si>
  <si>
    <t>SARKOZY T.</t>
  </si>
  <si>
    <t>CICKO R.</t>
  </si>
  <si>
    <t>BALAZOVA M.</t>
  </si>
  <si>
    <t>SARKOZYOVA L.</t>
  </si>
  <si>
    <t>BORKOVA S.</t>
  </si>
  <si>
    <t>KALOCAJ V.</t>
  </si>
  <si>
    <t>CICKO D.</t>
  </si>
  <si>
    <t>DURACOVA Z.</t>
  </si>
  <si>
    <t>SADECKY A.</t>
  </si>
  <si>
    <t>CICKOVA R.</t>
  </si>
  <si>
    <t>M.MISIKA 25</t>
  </si>
  <si>
    <t>KOCIBAN L.</t>
  </si>
  <si>
    <t>BOJ.CESTA 24</t>
  </si>
  <si>
    <t>DADIKOVA D.</t>
  </si>
  <si>
    <t>BAJZOVA 1</t>
  </si>
  <si>
    <t>BENCA M.</t>
  </si>
  <si>
    <t>BAJZOVA 9</t>
  </si>
  <si>
    <t>IVANICOVA D.</t>
  </si>
  <si>
    <t>MAJERSKA 6</t>
  </si>
  <si>
    <t>FRIMMEL P.</t>
  </si>
  <si>
    <t>VELKONECPALSKA 79</t>
  </si>
  <si>
    <t>VALACH R.</t>
  </si>
  <si>
    <t>VELKONECPALSKA 81</t>
  </si>
  <si>
    <t>STAVOVA S.</t>
  </si>
  <si>
    <t>KUTOVSKA 3</t>
  </si>
  <si>
    <t>BENUSKA M.</t>
  </si>
  <si>
    <t>VALACH L.</t>
  </si>
  <si>
    <t>PINDURA J.</t>
  </si>
  <si>
    <t>PAPUCIK I.</t>
  </si>
  <si>
    <t>JESENSKEHO 6</t>
  </si>
  <si>
    <t>LACKOVA N.</t>
  </si>
  <si>
    <t>DREXLER J.</t>
  </si>
  <si>
    <t>KOZMONOVA M.</t>
  </si>
  <si>
    <t>ECKHARDT B.</t>
  </si>
  <si>
    <t>HEKLOVA B.</t>
  </si>
  <si>
    <t>VLCKOVA A.</t>
  </si>
  <si>
    <t>VAVROVA V.</t>
  </si>
  <si>
    <t>BOLJESIK J.</t>
  </si>
  <si>
    <t>GLESK T.</t>
  </si>
  <si>
    <t>BJORNSONA 48</t>
  </si>
  <si>
    <t>SIMUNEKOVA J.</t>
  </si>
  <si>
    <t>S.CHALUPKU 24</t>
  </si>
  <si>
    <t>HLAVACOVA M.</t>
  </si>
  <si>
    <t>BJORNSONA 3</t>
  </si>
  <si>
    <t>PAVLIKOVA J.</t>
  </si>
  <si>
    <t>KRALIKA 3</t>
  </si>
  <si>
    <t>POKORNY F.</t>
  </si>
  <si>
    <t>S.CHALUPKU 3</t>
  </si>
  <si>
    <t>JURCIK E.</t>
  </si>
  <si>
    <t>URBARSKA 5</t>
  </si>
  <si>
    <t>FRAJKOVA A.</t>
  </si>
  <si>
    <t>URBARSKA 7</t>
  </si>
  <si>
    <t>CIPOV R.</t>
  </si>
  <si>
    <t>URBARSKA 11</t>
  </si>
  <si>
    <t>POLONCYOVA E.</t>
  </si>
  <si>
    <t>Ročné
nájomné
max. 5%</t>
  </si>
  <si>
    <t>Mesačné
nájomné
max. 5%</t>
  </si>
  <si>
    <t>Mesačné nájomné
zvýšenie o 20%
na rok 2025</t>
  </si>
  <si>
    <t>Pôvodná
OC bytu</t>
  </si>
  <si>
    <t>MAX vs. +20%</t>
  </si>
  <si>
    <t>MAX nájomné
od 1.1.2025</t>
  </si>
  <si>
    <t>OC zvýšená
o Kcpi/2
2006-2023</t>
  </si>
  <si>
    <t>YUZOVA K.</t>
  </si>
  <si>
    <t>SPOLU</t>
  </si>
  <si>
    <t>Pozrieť výmery podľa znaleckého posudku na zápis do KN a opraviť v Bythose, ale až keď to budeme mať zapísané v KN !!!</t>
  </si>
  <si>
    <t>pred 2/2001</t>
  </si>
  <si>
    <t>Stanovená
OC bytu</t>
  </si>
  <si>
    <t>S.CHALUPKU 45</t>
  </si>
  <si>
    <t>Zložky obstarávacej ceny</t>
    <phoneticPr fontId="1" type="noConversion"/>
  </si>
  <si>
    <t>zlozky mesačného najomného</t>
  </si>
  <si>
    <t>PP bytu</t>
    <phoneticPr fontId="1" type="noConversion"/>
  </si>
  <si>
    <t>náklad na m2</t>
    <phoneticPr fontId="1" type="noConversion"/>
  </si>
  <si>
    <t>obstarávacia cena ( úver ŠFRB)</t>
  </si>
  <si>
    <t>dotácia</t>
  </si>
  <si>
    <t>5% opravnené ročné maximálne nájomné</t>
    <phoneticPr fontId="1" type="noConversion"/>
  </si>
  <si>
    <t>5% opravnené mesacne maximálne nájomné</t>
    <phoneticPr fontId="1" type="noConversion"/>
  </si>
  <si>
    <t>ročná splátka úveru</t>
    <phoneticPr fontId="1" type="noConversion"/>
  </si>
  <si>
    <t>úver</t>
  </si>
  <si>
    <t>fond údržby</t>
    <phoneticPr fontId="1" type="noConversion"/>
  </si>
  <si>
    <t>poplatok za výkon správy</t>
  </si>
  <si>
    <t>režijné náklady</t>
  </si>
  <si>
    <t>celkom</t>
    <phoneticPr fontId="1" type="noConversion"/>
  </si>
  <si>
    <t>stanovené nájomné</t>
    <phoneticPr fontId="1" type="noConversion"/>
  </si>
  <si>
    <t>SUM</t>
    <phoneticPr fontId="1" type="noConversion"/>
  </si>
  <si>
    <t xml:space="preserve">Komitent:                                                                         </t>
  </si>
  <si>
    <t xml:space="preserve"> Komisionár:</t>
  </si>
  <si>
    <t>bod 10, a) KZ</t>
  </si>
  <si>
    <t>bod 10, b) KZ</t>
  </si>
  <si>
    <t>bod 10, c) KZ</t>
  </si>
  <si>
    <t>bod 10, d) KZ</t>
  </si>
  <si>
    <t>mesto Prievidza</t>
  </si>
  <si>
    <t xml:space="preserve">                     </t>
  </si>
  <si>
    <t xml:space="preserve">        </t>
  </si>
  <si>
    <t>Správa majetku mesta Prievidza, s.r.o.</t>
  </si>
  <si>
    <t xml:space="preserve">JUDr. Katarína Macháčková   </t>
  </si>
  <si>
    <t>JUDr. Ján Martiček</t>
  </si>
  <si>
    <t xml:space="preserve">primátorka mesta </t>
  </si>
  <si>
    <t xml:space="preserve">konateľ spoločnosti </t>
  </si>
  <si>
    <t>od 2025 k prezmluvňovaniu</t>
  </si>
  <si>
    <t>fond rozvoja bývania</t>
  </si>
  <si>
    <t>obstaravacia cena pre výpočet valozizovaného nájomného spolu</t>
  </si>
  <si>
    <t>Kcpi/2=17,45%</t>
  </si>
  <si>
    <t>bod 10, e) KZ</t>
  </si>
  <si>
    <t>Zložená zábezpeka</t>
  </si>
  <si>
    <t>Nová výška zábezpeky</t>
  </si>
  <si>
    <t>obstaravacia cena spolu</t>
  </si>
  <si>
    <t>5% opravnené ročné maximálne nájomné</t>
  </si>
  <si>
    <t>5% opravnené mesačné maximálne nájomné</t>
  </si>
  <si>
    <t>4,5 % ročné stanovené nájomné skutočné</t>
  </si>
  <si>
    <t>Kcpi/2=14,2%</t>
  </si>
  <si>
    <t>poplatok za výkon správy  s DPH</t>
  </si>
  <si>
    <t>režijné náklady s DPH</t>
  </si>
  <si>
    <t xml:space="preserve">prezmluvňovanie v </t>
  </si>
  <si>
    <t>05/2025</t>
  </si>
  <si>
    <t>08/2026</t>
  </si>
  <si>
    <t>08/2025</t>
  </si>
  <si>
    <t>04/2025</t>
  </si>
  <si>
    <t>07/2026</t>
  </si>
  <si>
    <t>10/2025</t>
  </si>
  <si>
    <t>neurčitá</t>
  </si>
  <si>
    <t>Prezmluvňovanie na nové nájomné</t>
  </si>
  <si>
    <t>CC 6,8,9A</t>
  </si>
  <si>
    <t>06/2025</t>
  </si>
  <si>
    <t>Kútovská 9,11,13</t>
  </si>
  <si>
    <t>V inej správe</t>
  </si>
  <si>
    <t>Vansovej 12</t>
  </si>
  <si>
    <t>Okáľa - ak vôbec</t>
  </si>
  <si>
    <t>G 9,11</t>
  </si>
  <si>
    <t>G 13,15</t>
  </si>
  <si>
    <t>G 17,19</t>
  </si>
  <si>
    <t>G 21,23</t>
  </si>
  <si>
    <t>G 5A,5B</t>
  </si>
  <si>
    <t>G 1A,1B</t>
  </si>
  <si>
    <t>Vyhláška Ministerstva dopravy SR č. 281 zo dňa  21.10.2024, účinná od 1.1.2025</t>
  </si>
  <si>
    <t xml:space="preserve">Prepočet obstarávacej ceny bytu podľa § 1, ods. 1, písm. b) - podľa prílohy - Určenie hodnoty bytu </t>
  </si>
  <si>
    <t xml:space="preserve">Kcpi pre CC 6, 6A predstavuje </t>
  </si>
  <si>
    <t>CC 6</t>
  </si>
  <si>
    <t>CC 6A</t>
  </si>
  <si>
    <t>Celková podlahová plocha</t>
  </si>
  <si>
    <t>Základné nájomné</t>
  </si>
  <si>
    <t>2 izb. byt</t>
  </si>
  <si>
    <t>3 izb. byt</t>
  </si>
  <si>
    <t>EUR</t>
  </si>
  <si>
    <t>Zvýšenie nájomného o %</t>
  </si>
  <si>
    <t>Nájomné na nové zmluvné vzťahy, uzatvorené od 1.1.2025 
sa stanovuje nasledovne:</t>
  </si>
  <si>
    <t>Uvedené stanovené nájomné od 1.1.2025 v tabuľke sa vzťahuje na všetky nájomné zmluvy, uzatvorené do 31.12.2024, ako aj na predlžovanie 
týchto nájomných zmlúv.</t>
  </si>
  <si>
    <t xml:space="preserve">Kcpi pre CC 9A predstavuje </t>
  </si>
  <si>
    <t>OC</t>
  </si>
  <si>
    <t>Plocha</t>
  </si>
  <si>
    <t>OC/m2</t>
  </si>
  <si>
    <t>9A</t>
  </si>
  <si>
    <t>1 izb. byt</t>
  </si>
  <si>
    <t xml:space="preserve">Kcpi pre CC 8A, 8B, 8C, 8D predstavuje </t>
  </si>
  <si>
    <t>mesačne v prípade plnej obsadenosti o</t>
  </si>
  <si>
    <t>8A</t>
  </si>
  <si>
    <t>8B</t>
  </si>
  <si>
    <t>8C</t>
  </si>
  <si>
    <t>8D</t>
  </si>
  <si>
    <t>Obec s počtom obyvateľov nad 10 000 - určená obstarávacia cena 1.620,00 EUR/m2</t>
  </si>
  <si>
    <t>Polocha</t>
  </si>
  <si>
    <t>určená OC</t>
  </si>
  <si>
    <t>Kútovská 9</t>
  </si>
  <si>
    <t>Kútovská 11</t>
  </si>
  <si>
    <t>Kútovská 13</t>
  </si>
  <si>
    <t>všetky</t>
  </si>
  <si>
    <t>max 5% z OC
- zľava podľa trhu</t>
  </si>
  <si>
    <t>Adresa</t>
  </si>
  <si>
    <t>Byt č.</t>
  </si>
  <si>
    <t>Zmluva na dobu</t>
  </si>
  <si>
    <t>do 05/2025</t>
  </si>
  <si>
    <t>Nájomné môže byť každý rok navýšené o 20% predchádzajúceho nájomného</t>
  </si>
  <si>
    <t>T.Vansovej 12</t>
  </si>
  <si>
    <t>neurčitú</t>
  </si>
  <si>
    <t>Okáľa 2</t>
  </si>
  <si>
    <t>Okáľa 10</t>
  </si>
  <si>
    <t>Zvýšenie nájomného o EUR</t>
  </si>
  <si>
    <t>ako v tabuľke</t>
  </si>
  <si>
    <r>
      <t xml:space="preserve">A. Hodnota bytu, ktorý bol </t>
    </r>
    <r>
      <rPr>
        <b/>
        <sz val="12"/>
        <color theme="1"/>
        <rFont val="Arial CE"/>
        <family val="2"/>
        <charset val="238"/>
      </rPr>
      <t>skolaudovaný do 31. januára 2001</t>
    </r>
    <r>
      <rPr>
        <sz val="12"/>
        <color theme="1"/>
        <rFont val="Arial CE"/>
        <family val="2"/>
        <charset val="238"/>
      </rPr>
      <t>, sa určuje takto:</t>
    </r>
  </si>
  <si>
    <r>
      <t xml:space="preserve">A. Hodnota bytu, ktorý bol skolaudovaný </t>
    </r>
    <r>
      <rPr>
        <b/>
        <sz val="12"/>
        <color theme="1"/>
        <rFont val="Arial CE"/>
        <family val="2"/>
        <charset val="238"/>
      </rPr>
      <t>do 31. januára 2001</t>
    </r>
    <r>
      <rPr>
        <sz val="12"/>
        <color theme="1"/>
        <rFont val="Arial CE"/>
        <family val="2"/>
        <charset val="238"/>
      </rPr>
      <t>, sa určuje takto:</t>
    </r>
  </si>
  <si>
    <t>Stanovené nájomné od 1.1.2026</t>
  </si>
  <si>
    <t>zvýšenie o 20% oproti predchádzajúcemu roku</t>
  </si>
  <si>
    <t>Stanovené nájomné od 1.1.2027</t>
  </si>
  <si>
    <t>Stanovené nájomné od 1.1.2028</t>
  </si>
  <si>
    <t>Stanovené nájomné od 1.1.2029</t>
  </si>
  <si>
    <t>Stanovené nájomné od 1.1.2030</t>
  </si>
  <si>
    <t>Stanovené nájomné od 1.1.2031</t>
  </si>
  <si>
    <t>zaokrúhlene nadol</t>
  </si>
  <si>
    <t>Stanovené nájomné od 1.1.2032</t>
  </si>
  <si>
    <t>max o 20%</t>
  </si>
  <si>
    <t>08/2027</t>
  </si>
  <si>
    <t>zvýšenie o €</t>
  </si>
  <si>
    <t>zvýšenie o %</t>
  </si>
  <si>
    <t>J. Okáľa 2, 10 - Úprava výšky nájomného od 01.05.2025</t>
  </si>
  <si>
    <t>Stanovené nájomné od 1.5.2025</t>
  </si>
  <si>
    <t>T. Vansovej 12 - Úprava výšky nájomného od 01.06.2025</t>
  </si>
  <si>
    <t>Stanovené nájomné od 1.6.2025</t>
  </si>
  <si>
    <t>Byty mesta PD v odpredaných bytových domoch v inej správe
Úprava výšky nájomného od 01.06.2025</t>
  </si>
  <si>
    <t>Kútovská 9, 11, 13 - Úprava výšky nájomného od 01.06.2025</t>
  </si>
  <si>
    <t>Ciglianska cesta 6, 6A - Úprava výšky nájomného od 01.07.2025</t>
  </si>
  <si>
    <t>Stanovené nájomné od 1.7.2025</t>
  </si>
  <si>
    <r>
      <t xml:space="preserve">B. Hodnota bytu, ktorý bol skolaudovaný </t>
    </r>
    <r>
      <rPr>
        <b/>
        <sz val="12"/>
        <rFont val="Arial CE"/>
        <family val="2"/>
        <charset val="238"/>
      </rPr>
      <t>od 1. februára 2001</t>
    </r>
    <r>
      <rPr>
        <sz val="12"/>
        <rFont val="Arial CE"/>
        <family val="2"/>
        <charset val="238"/>
      </rPr>
      <t>, sa určuje takto:</t>
    </r>
  </si>
  <si>
    <t>Ciglianska cesta 9A - Úprava výšky nájomného od 01.07.2025</t>
  </si>
  <si>
    <t>Stanovené nájomné od 1.9.2025</t>
  </si>
  <si>
    <t>Gazdovská 17, 19 - Úprava výšky nájomného od 01.09.2025</t>
  </si>
  <si>
    <t>Príjem do fondu rozvoja bývania</t>
  </si>
  <si>
    <t>Výška zábezpeky na doplatenie</t>
  </si>
  <si>
    <t>Gazdovská 5A, 5B - Úprava výšky nájomného od 01.11.2025</t>
  </si>
  <si>
    <t>Stanovené nájomné od 1.11.2025</t>
  </si>
  <si>
    <t>zmluvy do</t>
  </si>
  <si>
    <t>Ciglianska cesta 8A, B  - Úprava výšky nájomného od 01.07.2025</t>
  </si>
  <si>
    <t>Ciglianska cesta 8 C  - Úprava výšky nájomného od 01.07.2025</t>
  </si>
  <si>
    <t>Ciglianska cesta 8 D  - Úprava výšky nájomného od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</si>
</sst>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_-* #,##0.00\ _€_-;\-* #,##0.00\ _€_-;_-* &quot;-&quot;??\ _€_-;_-@_-"/>
    <numFmt numFmtId="166" formatCode="_-* #,##0.000_-;\-* #,##0.000_-;_-* &quot;-&quot;??_-;_-@_-"/>
    <numFmt numFmtId="167" formatCode="#,##0.000"/>
  </numFmts>
  <fonts count="30" x14ac:knownFonts="1">
    <font>
      <sz val="12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Arial CE"/>
      <family val="2"/>
      <charset val="238"/>
    </font>
    <font>
      <b/>
      <sz val="13"/>
      <color theme="3"/>
      <name val="Arial CE"/>
      <family val="2"/>
      <charset val="238"/>
    </font>
    <font>
      <b/>
      <sz val="11"/>
      <color theme="3"/>
      <name val="Arial CE"/>
      <family val="2"/>
      <charset val="238"/>
    </font>
    <font>
      <sz val="12"/>
      <color rgb="FF006100"/>
      <name val="Arial CE"/>
      <family val="2"/>
      <charset val="238"/>
    </font>
    <font>
      <sz val="12"/>
      <color rgb="FF9C0006"/>
      <name val="Arial CE"/>
      <family val="2"/>
      <charset val="238"/>
    </font>
    <font>
      <sz val="12"/>
      <color rgb="FF9C5700"/>
      <name val="Arial CE"/>
      <family val="2"/>
      <charset val="238"/>
    </font>
    <font>
      <sz val="12"/>
      <color rgb="FF3F3F76"/>
      <name val="Arial CE"/>
      <family val="2"/>
      <charset val="238"/>
    </font>
    <font>
      <b/>
      <sz val="12"/>
      <color rgb="FF3F3F3F"/>
      <name val="Arial CE"/>
      <family val="2"/>
      <charset val="238"/>
    </font>
    <font>
      <b/>
      <sz val="12"/>
      <color rgb="FFFA7D00"/>
      <name val="Arial CE"/>
      <family val="2"/>
      <charset val="238"/>
    </font>
    <font>
      <sz val="12"/>
      <color rgb="FFFA7D00"/>
      <name val="Arial CE"/>
      <family val="2"/>
      <charset val="238"/>
    </font>
    <font>
      <b/>
      <sz val="12"/>
      <color theme="0"/>
      <name val="Arial CE"/>
      <family val="2"/>
      <charset val="238"/>
    </font>
    <font>
      <sz val="12"/>
      <color rgb="FFFF0000"/>
      <name val="Arial CE"/>
      <family val="2"/>
      <charset val="238"/>
    </font>
    <font>
      <i/>
      <sz val="12"/>
      <color rgb="FF7F7F7F"/>
      <name val="Arial CE"/>
      <family val="2"/>
      <charset val="238"/>
    </font>
    <font>
      <b/>
      <sz val="12"/>
      <color theme="1"/>
      <name val="Arial CE"/>
      <family val="2"/>
      <charset val="238"/>
    </font>
    <font>
      <sz val="12"/>
      <color theme="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0"/>
      <name val="Verdana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theme="1"/>
      <name val="Arial CE"/>
      <family val="2"/>
      <charset val="238"/>
    </font>
    <font>
      <sz val="8"/>
      <name val="Arial CE"/>
      <family val="2"/>
      <charset val="238"/>
    </font>
    <font>
      <b/>
      <sz val="14"/>
      <color theme="1"/>
      <name val="Arial CE"/>
      <family val="2"/>
      <charset val="238"/>
    </font>
    <font>
      <b/>
      <sz val="14"/>
      <name val="Arial CE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43" fontId="0" fillId="0" borderId="0" xfId="1" applyFont="1"/>
    <xf numFmtId="43" fontId="16" fillId="0" borderId="0" xfId="1" applyFont="1"/>
    <xf numFmtId="0" fontId="16" fillId="0" borderId="0" xfId="0" applyFont="1"/>
    <xf numFmtId="164" fontId="16" fillId="0" borderId="0" xfId="0" applyNumberFormat="1" applyFont="1"/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43" fontId="14" fillId="0" borderId="0" xfId="1" applyFont="1"/>
    <xf numFmtId="0" fontId="14" fillId="0" borderId="0" xfId="0" applyFont="1"/>
    <xf numFmtId="0" fontId="0" fillId="33" borderId="0" xfId="0" applyFill="1"/>
    <xf numFmtId="0" fontId="18" fillId="0" borderId="0" xfId="0" applyFont="1"/>
    <xf numFmtId="43" fontId="18" fillId="0" borderId="0" xfId="0" applyNumberFormat="1" applyFont="1"/>
    <xf numFmtId="43" fontId="18" fillId="0" borderId="0" xfId="1" applyFont="1"/>
    <xf numFmtId="2" fontId="16" fillId="0" borderId="0" xfId="0" applyNumberFormat="1" applyFont="1"/>
    <xf numFmtId="43" fontId="19" fillId="0" borderId="0" xfId="1" applyFont="1"/>
    <xf numFmtId="43" fontId="16" fillId="0" borderId="0" xfId="0" applyNumberFormat="1" applyFont="1"/>
    <xf numFmtId="0" fontId="19" fillId="0" borderId="0" xfId="0" applyFont="1"/>
    <xf numFmtId="43" fontId="20" fillId="0" borderId="0" xfId="1" applyFont="1"/>
    <xf numFmtId="4" fontId="22" fillId="0" borderId="0" xfId="43" applyNumberFormat="1" applyFont="1"/>
    <xf numFmtId="43" fontId="22" fillId="0" borderId="0" xfId="1" applyFont="1" applyBorder="1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left"/>
    </xf>
    <xf numFmtId="0" fontId="0" fillId="35" borderId="0" xfId="0" applyFill="1"/>
    <xf numFmtId="0" fontId="0" fillId="35" borderId="0" xfId="0" applyFill="1" applyAlignment="1">
      <alignment horizontal="center" vertical="center" wrapText="1"/>
    </xf>
    <xf numFmtId="0" fontId="0" fillId="35" borderId="0" xfId="0" applyFill="1" applyAlignment="1">
      <alignment horizontal="center" vertical="center"/>
    </xf>
    <xf numFmtId="10" fontId="16" fillId="0" borderId="0" xfId="0" applyNumberFormat="1" applyFont="1"/>
    <xf numFmtId="0" fontId="16" fillId="36" borderId="10" xfId="0" applyFont="1" applyFill="1" applyBorder="1" applyAlignment="1">
      <alignment horizontal="center" vertical="center"/>
    </xf>
    <xf numFmtId="43" fontId="16" fillId="36" borderId="10" xfId="1" applyFont="1" applyFill="1" applyBorder="1" applyAlignment="1">
      <alignment horizontal="center" vertical="center"/>
    </xf>
    <xf numFmtId="0" fontId="16" fillId="37" borderId="10" xfId="0" applyFont="1" applyFill="1" applyBorder="1" applyAlignment="1">
      <alignment horizontal="center" vertical="center"/>
    </xf>
    <xf numFmtId="43" fontId="16" fillId="37" borderId="10" xfId="1" applyFont="1" applyFill="1" applyBorder="1" applyAlignment="1">
      <alignment horizontal="center" vertical="center"/>
    </xf>
    <xf numFmtId="166" fontId="16" fillId="0" borderId="0" xfId="1" applyNumberFormat="1" applyFont="1"/>
    <xf numFmtId="0" fontId="16" fillId="35" borderId="0" xfId="0" applyFont="1" applyFill="1" applyAlignment="1">
      <alignment horizontal="left" vertical="center"/>
    </xf>
    <xf numFmtId="0" fontId="16" fillId="3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35" borderId="0" xfId="0" applyFont="1" applyFill="1" applyAlignment="1">
      <alignment horizontal="center" vertical="center" wrapText="1"/>
    </xf>
    <xf numFmtId="0" fontId="16" fillId="35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/>
    <xf numFmtId="165" fontId="16" fillId="0" borderId="0" xfId="0" applyNumberFormat="1" applyFont="1"/>
    <xf numFmtId="165" fontId="0" fillId="0" borderId="13" xfId="0" applyNumberFormat="1" applyBorder="1"/>
    <xf numFmtId="9" fontId="0" fillId="0" borderId="0" xfId="45" applyFont="1"/>
    <xf numFmtId="49" fontId="0" fillId="33" borderId="0" xfId="0" applyNumberFormat="1" applyFill="1"/>
    <xf numFmtId="2" fontId="18" fillId="0" borderId="0" xfId="0" applyNumberFormat="1" applyFont="1"/>
    <xf numFmtId="0" fontId="18" fillId="0" borderId="0" xfId="0" applyFont="1" applyAlignment="1">
      <alignment horizontal="center"/>
    </xf>
    <xf numFmtId="17" fontId="18" fillId="0" borderId="0" xfId="0" applyNumberFormat="1" applyFont="1"/>
    <xf numFmtId="43" fontId="1" fillId="0" borderId="0" xfId="1" applyFont="1"/>
    <xf numFmtId="0" fontId="16" fillId="38" borderId="0" xfId="0" applyFont="1" applyFill="1" applyAlignment="1">
      <alignment horizontal="left"/>
    </xf>
    <xf numFmtId="0" fontId="0" fillId="38" borderId="0" xfId="0" applyFill="1"/>
    <xf numFmtId="43" fontId="0" fillId="38" borderId="0" xfId="1" applyFont="1" applyFill="1"/>
    <xf numFmtId="2" fontId="0" fillId="38" borderId="0" xfId="0" applyNumberFormat="1" applyFill="1"/>
    <xf numFmtId="43" fontId="18" fillId="38" borderId="0" xfId="1" applyFont="1" applyFill="1"/>
    <xf numFmtId="43" fontId="16" fillId="38" borderId="0" xfId="1" applyFont="1" applyFill="1"/>
    <xf numFmtId="165" fontId="0" fillId="38" borderId="0" xfId="0" applyNumberFormat="1" applyFill="1"/>
    <xf numFmtId="0" fontId="16" fillId="37" borderId="0" xfId="0" applyFont="1" applyFill="1" applyAlignment="1">
      <alignment horizontal="left"/>
    </xf>
    <xf numFmtId="0" fontId="0" fillId="37" borderId="0" xfId="0" applyFill="1"/>
    <xf numFmtId="43" fontId="0" fillId="37" borderId="0" xfId="1" applyFont="1" applyFill="1"/>
    <xf numFmtId="2" fontId="0" fillId="37" borderId="0" xfId="0" applyNumberFormat="1" applyFill="1"/>
    <xf numFmtId="43" fontId="18" fillId="37" borderId="0" xfId="1" applyFont="1" applyFill="1"/>
    <xf numFmtId="43" fontId="16" fillId="37" borderId="0" xfId="1" applyFont="1" applyFill="1"/>
    <xf numFmtId="165" fontId="0" fillId="37" borderId="0" xfId="0" applyNumberFormat="1" applyFill="1"/>
    <xf numFmtId="43" fontId="0" fillId="35" borderId="0" xfId="1" applyFont="1" applyFill="1"/>
    <xf numFmtId="2" fontId="0" fillId="35" borderId="0" xfId="0" applyNumberFormat="1" applyFill="1"/>
    <xf numFmtId="43" fontId="16" fillId="35" borderId="0" xfId="1" applyFont="1" applyFill="1"/>
    <xf numFmtId="165" fontId="0" fillId="35" borderId="0" xfId="0" applyNumberFormat="1" applyFill="1"/>
    <xf numFmtId="9" fontId="0" fillId="35" borderId="0" xfId="45" applyFont="1" applyFill="1"/>
    <xf numFmtId="43" fontId="0" fillId="35" borderId="0" xfId="0" applyNumberFormat="1" applyFill="1"/>
    <xf numFmtId="0" fontId="16" fillId="39" borderId="0" xfId="0" applyFont="1" applyFill="1" applyAlignment="1">
      <alignment horizontal="left"/>
    </xf>
    <xf numFmtId="0" fontId="0" fillId="39" borderId="0" xfId="0" applyFill="1"/>
    <xf numFmtId="43" fontId="0" fillId="39" borderId="0" xfId="1" applyFont="1" applyFill="1"/>
    <xf numFmtId="2" fontId="0" fillId="39" borderId="0" xfId="0" applyNumberFormat="1" applyFill="1"/>
    <xf numFmtId="43" fontId="18" fillId="39" borderId="0" xfId="1" applyFont="1" applyFill="1"/>
    <xf numFmtId="43" fontId="16" fillId="39" borderId="0" xfId="1" applyFont="1" applyFill="1"/>
    <xf numFmtId="165" fontId="0" fillId="39" borderId="0" xfId="0" applyNumberFormat="1" applyFill="1"/>
    <xf numFmtId="0" fontId="29" fillId="0" borderId="0" xfId="0" applyFont="1"/>
    <xf numFmtId="0" fontId="19" fillId="35" borderId="0" xfId="0" applyFont="1" applyFill="1" applyAlignment="1">
      <alignment horizontal="left" vertical="center"/>
    </xf>
    <xf numFmtId="0" fontId="2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36" borderId="0" xfId="0" applyFont="1" applyFill="1" applyAlignment="1">
      <alignment horizontal="left"/>
    </xf>
    <xf numFmtId="43" fontId="0" fillId="36" borderId="0" xfId="1" applyFont="1" applyFill="1"/>
    <xf numFmtId="2" fontId="0" fillId="36" borderId="0" xfId="0" applyNumberFormat="1" applyFill="1"/>
    <xf numFmtId="43" fontId="16" fillId="36" borderId="0" xfId="1" applyFont="1" applyFill="1"/>
    <xf numFmtId="0" fontId="19" fillId="36" borderId="0" xfId="0" applyFont="1" applyFill="1" applyAlignment="1">
      <alignment horizontal="left" vertical="center"/>
    </xf>
    <xf numFmtId="0" fontId="19" fillId="37" borderId="0" xfId="0" applyFont="1" applyFill="1" applyAlignment="1">
      <alignment horizontal="left"/>
    </xf>
    <xf numFmtId="0" fontId="19" fillId="35" borderId="0" xfId="0" applyFont="1" applyFill="1" applyAlignment="1">
      <alignment horizontal="left"/>
    </xf>
    <xf numFmtId="0" fontId="19" fillId="39" borderId="0" xfId="0" applyFont="1" applyFill="1" applyAlignment="1">
      <alignment horizontal="left"/>
    </xf>
    <xf numFmtId="0" fontId="23" fillId="0" borderId="0" xfId="43" applyFont="1"/>
    <xf numFmtId="0" fontId="24" fillId="0" borderId="0" xfId="43" applyFont="1"/>
    <xf numFmtId="0" fontId="22" fillId="0" borderId="0" xfId="43" applyFont="1"/>
    <xf numFmtId="0" fontId="25" fillId="0" borderId="0" xfId="43" applyFont="1"/>
    <xf numFmtId="4" fontId="22" fillId="0" borderId="0" xfId="43" applyNumberFormat="1" applyFont="1" applyAlignment="1">
      <alignment horizontal="center" wrapText="1"/>
    </xf>
    <xf numFmtId="4" fontId="22" fillId="0" borderId="0" xfId="43" applyNumberFormat="1" applyFont="1" applyAlignment="1">
      <alignment horizontal="center"/>
    </xf>
    <xf numFmtId="43" fontId="23" fillId="0" borderId="0" xfId="1" applyFont="1" applyBorder="1"/>
    <xf numFmtId="4" fontId="26" fillId="0" borderId="0" xfId="0" applyNumberFormat="1" applyFont="1"/>
    <xf numFmtId="165" fontId="22" fillId="0" borderId="0" xfId="43" applyNumberFormat="1" applyFont="1"/>
    <xf numFmtId="43" fontId="22" fillId="0" borderId="0" xfId="1" applyFont="1" applyFill="1" applyBorder="1"/>
    <xf numFmtId="0" fontId="22" fillId="34" borderId="0" xfId="43" applyFont="1" applyFill="1"/>
    <xf numFmtId="4" fontId="22" fillId="0" borderId="0" xfId="43" applyNumberFormat="1" applyFont="1" applyAlignment="1">
      <alignment wrapText="1"/>
    </xf>
    <xf numFmtId="4" fontId="23" fillId="0" borderId="0" xfId="43" applyNumberFormat="1" applyFont="1"/>
    <xf numFmtId="4" fontId="22" fillId="0" borderId="0" xfId="43" applyNumberFormat="1" applyFont="1" applyAlignment="1">
      <alignment wrapText="1" shrinkToFit="1"/>
    </xf>
    <xf numFmtId="4" fontId="23" fillId="0" borderId="0" xfId="43" applyNumberFormat="1" applyFont="1" applyAlignment="1">
      <alignment horizontal="center"/>
    </xf>
    <xf numFmtId="43" fontId="23" fillId="0" borderId="0" xfId="1" applyFont="1" applyFill="1" applyBorder="1"/>
    <xf numFmtId="9" fontId="22" fillId="0" borderId="0" xfId="45" applyFont="1" applyFill="1" applyBorder="1"/>
    <xf numFmtId="2" fontId="22" fillId="0" borderId="0" xfId="43" applyNumberFormat="1" applyFont="1"/>
    <xf numFmtId="0" fontId="22" fillId="0" borderId="0" xfId="43" applyFont="1" applyAlignment="1">
      <alignment horizontal="left" vertical="center"/>
    </xf>
    <xf numFmtId="0" fontId="22" fillId="0" borderId="0" xfId="43" applyFont="1" applyAlignment="1">
      <alignment horizontal="left" indent="3"/>
    </xf>
    <xf numFmtId="0" fontId="22" fillId="35" borderId="0" xfId="43" applyFont="1" applyFill="1" applyAlignment="1">
      <alignment horizontal="center" wrapText="1"/>
    </xf>
    <xf numFmtId="0" fontId="22" fillId="35" borderId="0" xfId="43" applyFont="1" applyFill="1" applyAlignment="1">
      <alignment horizontal="center"/>
    </xf>
    <xf numFmtId="4" fontId="22" fillId="35" borderId="0" xfId="43" applyNumberFormat="1" applyFont="1" applyFill="1" applyAlignment="1">
      <alignment horizontal="center" wrapText="1"/>
    </xf>
    <xf numFmtId="4" fontId="22" fillId="35" borderId="0" xfId="43" applyNumberFormat="1" applyFont="1" applyFill="1" applyAlignment="1">
      <alignment horizontal="center"/>
    </xf>
    <xf numFmtId="4" fontId="23" fillId="35" borderId="0" xfId="43" applyNumberFormat="1" applyFont="1" applyFill="1" applyAlignment="1">
      <alignment horizontal="center" wrapText="1"/>
    </xf>
    <xf numFmtId="167" fontId="26" fillId="0" borderId="0" xfId="0" applyNumberFormat="1" applyFont="1"/>
    <xf numFmtId="4" fontId="23" fillId="0" borderId="0" xfId="43" applyNumberFormat="1" applyFont="1" applyAlignment="1">
      <alignment wrapText="1"/>
    </xf>
    <xf numFmtId="0" fontId="23" fillId="35" borderId="0" xfId="43" applyFont="1" applyFill="1" applyAlignment="1">
      <alignment horizontal="left" wrapText="1"/>
    </xf>
    <xf numFmtId="0" fontId="23" fillId="0" borderId="0" xfId="43" applyFont="1" applyAlignment="1">
      <alignment horizontal="left"/>
    </xf>
    <xf numFmtId="0" fontId="22" fillId="0" borderId="0" xfId="43" applyFont="1" applyAlignment="1">
      <alignment horizontal="left"/>
    </xf>
    <xf numFmtId="0" fontId="25" fillId="0" borderId="0" xfId="43" applyFont="1" applyAlignment="1">
      <alignment horizontal="left"/>
    </xf>
    <xf numFmtId="4" fontId="22" fillId="0" borderId="0" xfId="43" applyNumberFormat="1" applyFont="1" applyAlignment="1">
      <alignment horizontal="left"/>
    </xf>
    <xf numFmtId="0" fontId="0" fillId="0" borderId="0" xfId="0" applyAlignment="1">
      <alignment horizontal="left" vertical="center" wrapText="1"/>
    </xf>
    <xf numFmtId="43" fontId="22" fillId="0" borderId="0" xfId="1" applyFont="1" applyFill="1" applyBorder="1" applyAlignment="1">
      <alignment horizontal="left"/>
    </xf>
    <xf numFmtId="0" fontId="16" fillId="35" borderId="10" xfId="0" applyFont="1" applyFill="1" applyBorder="1" applyAlignment="1">
      <alignment horizontal="left" vertical="center" wrapText="1"/>
    </xf>
    <xf numFmtId="43" fontId="16" fillId="36" borderId="11" xfId="1" applyFont="1" applyFill="1" applyBorder="1" applyAlignment="1">
      <alignment horizontal="center" vertical="center" wrapText="1"/>
    </xf>
    <xf numFmtId="43" fontId="16" fillId="36" borderId="12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0" xfId="43" applyFont="1" applyAlignment="1">
      <alignment horizontal="left"/>
    </xf>
    <xf numFmtId="4" fontId="22" fillId="0" borderId="0" xfId="43" applyNumberFormat="1" applyFont="1" applyAlignment="1">
      <alignment horizontal="center"/>
    </xf>
    <xf numFmtId="4" fontId="22" fillId="0" borderId="0" xfId="43" applyNumberFormat="1" applyFont="1" applyAlignment="1">
      <alignment horizontal="center" wrapText="1"/>
    </xf>
    <xf numFmtId="4" fontId="23" fillId="0" borderId="0" xfId="43" applyNumberFormat="1" applyFont="1" applyAlignment="1">
      <alignment horizontal="center"/>
    </xf>
  </cellXfs>
  <cellStyles count="46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" xfId="1" builtinId="3"/>
    <cellStyle name="Dobrá" xfId="7" builtinId="26" customBuiltin="1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álna" xfId="0" builtinId="0"/>
    <cellStyle name="Normálna 2" xfId="43" xr:uid="{80E5646B-4B28-40B3-8712-BFC9A16F2A2C}"/>
    <cellStyle name="Percentá" xfId="45" builtinId="5"/>
    <cellStyle name="Percentá 2" xfId="44" xr:uid="{E4E9787E-5DEC-47AD-94FE-67312406B4AD}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3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family val="2"/>
        <charset val="238"/>
        <scheme val="none"/>
      </font>
      <numFmt numFmtId="167" formatCode="#,##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family val="2"/>
        <charset val="238"/>
        <scheme val="none"/>
      </font>
      <numFmt numFmtId="167" formatCode="#,##0.0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solid">
          <fgColor indexed="64"/>
          <bgColor rgb="FF92D050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family val="2"/>
        <charset val="238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  <numFmt numFmtId="165" formatCode="_-* #,##0.00\ _€_-;\-* #,##0.0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  <numFmt numFmtId="35" formatCode="_-* #,##0.00_-;\-* #,##0.00_-;_-* &quot;-&quot;??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  <numFmt numFmtId="165" formatCode="_-* #,##0.00\ _€_-;\-* #,##0.0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  <numFmt numFmtId="35" formatCode="_-* #,##0.00_-;\-* #,##0.00_-;_-* &quot;-&quot;??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numFmt numFmtId="22" formatCode="mmm/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numFmt numFmtId="2" formatCode="0.00"/>
    </dxf>
    <dxf>
      <numFmt numFmtId="2" formatCode="0.00"/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numFmt numFmtId="2" formatCode="0.00"/>
    </dxf>
    <dxf>
      <numFmt numFmtId="2" formatCode="0.00"/>
    </dxf>
    <dxf>
      <font>
        <strike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CE"/>
        <family val="2"/>
        <charset val="23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CBF34C1-44DF-4046-A753-BA3834E6B601}" name="Tabuľka12" displayName="Tabuľka12" ref="A14:O27" headerRowCount="0" totalsRowShown="0" headerRowDxfId="322" dataDxfId="321" headerRowCellStyle="Čiarka" dataCellStyle="Čiarka">
  <tableColumns count="15">
    <tableColumn id="1" xr3:uid="{BADD052E-C922-42F4-A103-8F6E76D48617}" name="Stĺpec1" headerRowDxfId="320" dataDxfId="319"/>
    <tableColumn id="2" xr3:uid="{2FAE68E6-B401-4998-8D3A-3F828C2E9662}" name="Stĺpec2"/>
    <tableColumn id="3" xr3:uid="{543A923D-6ACD-4354-A4A2-F42E07C271BC}" name="Stĺpec3" headerRowDxfId="318" dataDxfId="317" headerRowCellStyle="Čiarka" dataCellStyle="Čiarka"/>
    <tableColumn id="4" xr3:uid="{FCB07D91-3D74-468C-AA09-266849041EA7}" name="Stĺpec4" headerRowDxfId="316" dataDxfId="315"/>
    <tableColumn id="5" xr3:uid="{6A5910F2-02FF-4F85-ADB9-E38B7B8FD6C0}" name="Stĺpec5"/>
    <tableColumn id="6" xr3:uid="{2FC77966-AB9D-407A-B38A-808C1CE0E123}" name="Stĺpec6"/>
    <tableColumn id="7" xr3:uid="{1E1DDF9D-3000-4864-9B6E-C091233C5611}" name="Stĺpec7" headerRowDxfId="314" dataDxfId="313"/>
    <tableColumn id="8" xr3:uid="{8F3041B0-A214-46C0-AD06-9F3E6A30F03C}" name="Stĺpec8" headerRowDxfId="312" dataDxfId="311"/>
    <tableColumn id="9" xr3:uid="{8CE3E947-07A2-4402-9F86-A5F686EC6D05}" name="Stĺpec9" headerRowDxfId="310" dataDxfId="309" headerRowCellStyle="Čiarka" dataCellStyle="Čiarka">
      <calculatedColumnFormula>SUM(G15*$I$8)</calculatedColumnFormula>
    </tableColumn>
    <tableColumn id="10" xr3:uid="{F1DAFD2F-D1B9-47E7-A4AA-A05B31A77AE7}" name="Stĺpec10" headerRowDxfId="308" dataDxfId="307" headerRowCellStyle="Čiarka" dataCellStyle="Čiarka">
      <calculatedColumnFormula>SUM(I15*5%)</calculatedColumnFormula>
    </tableColumn>
    <tableColumn id="11" xr3:uid="{56DFBEE3-E36D-41A2-8737-B9855C472F60}" name="Stĺpec11" headerRowDxfId="306" dataDxfId="305" headerRowCellStyle="Čiarka" dataCellStyle="Čiarka">
      <calculatedColumnFormula>SUM(J15/12)</calculatedColumnFormula>
    </tableColumn>
    <tableColumn id="12" xr3:uid="{C3B5A4CD-FE77-41AE-ADC0-32A06B7E8DA2}" name="Stĺpec12" headerRowDxfId="304" dataDxfId="303" headerRowCellStyle="Čiarka" dataCellStyle="Čiarka">
      <calculatedColumnFormula>SUM(C15*1.2)</calculatedColumnFormula>
    </tableColumn>
    <tableColumn id="13" xr3:uid="{4219771B-5B06-4BE3-9886-CE1D5C29323C}" name="Stĺpec13" headerRowDxfId="302" dataDxfId="301" headerRowCellStyle="Čiarka" dataCellStyle="Čiarka">
      <calculatedColumnFormula>SUM(C15+10)</calculatedColumnFormula>
    </tableColumn>
    <tableColumn id="14" xr3:uid="{B82F24D8-E25D-4302-9323-4BF254A8C6DB}" name="Stĺpec14" headerRowDxfId="300" dataDxfId="299">
      <calculatedColumnFormula>SUM(M15/C15*100)-100</calculatedColumnFormula>
    </tableColumn>
    <tableColumn id="15" xr3:uid="{46912FE7-E5FA-4DE5-AA58-390A1931105E}" name="Stĺpec142" headerRowDxfId="298" dataDxfId="297">
      <calculatedColumnFormula>SUM(Tabuľka12[[#This Row],[Stĺpec13]]-Tabuľka12[[#This Row],[Stĺpec3]])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670ADA4-DAC4-42EB-9188-796F3768843E}" name="Tabuľka13" displayName="Tabuľka13" ref="A30:O42" headerRowCount="0" totalsRowShown="0" headerRowDxfId="296" dataDxfId="295" headerRowCellStyle="Čiarka" dataCellStyle="Čiarka">
  <tableColumns count="15">
    <tableColumn id="1" xr3:uid="{FCBF1DF0-1E88-41EC-927C-18283F7491BC}" name="Stĺpec1" headerRowDxfId="294" dataDxfId="293"/>
    <tableColumn id="2" xr3:uid="{D5027B0D-2CD9-4FBE-8FDD-B7AC465340BA}" name="Stĺpec2"/>
    <tableColumn id="3" xr3:uid="{3253B6D0-9D54-480A-9553-E11F67D940A6}" name="Stĺpec3" headerRowDxfId="292" dataDxfId="291" headerRowCellStyle="Čiarka" dataCellStyle="Čiarka"/>
    <tableColumn id="4" xr3:uid="{7AE2A552-47DC-471C-B871-6E1AD160BA7A}" name="Stĺpec4" headerRowDxfId="290" dataDxfId="289"/>
    <tableColumn id="5" xr3:uid="{25CF518B-3F07-415C-9B01-E543AEA621FD}" name="Stĺpec5"/>
    <tableColumn id="6" xr3:uid="{9A48D641-190C-4FAF-8575-EB23E7831F41}" name="Stĺpec6"/>
    <tableColumn id="7" xr3:uid="{7AA27D13-8DF1-46BB-BBD3-E55F919D8112}" name="Stĺpec7" headerRowDxfId="288" dataDxfId="287"/>
    <tableColumn id="8" xr3:uid="{4E3BC2A4-BB6D-4422-9511-5274D119DB84}" name="Stĺpec8" headerRowDxfId="286" dataDxfId="285"/>
    <tableColumn id="9" xr3:uid="{1CDCB296-0332-471B-878E-9E2BE232AD46}" name="Stĺpec9" headerRowDxfId="284" dataDxfId="283" headerRowCellStyle="Čiarka" dataCellStyle="Čiarka">
      <calculatedColumnFormula>SUM(G31*$I$8)</calculatedColumnFormula>
    </tableColumn>
    <tableColumn id="10" xr3:uid="{9B6817EB-74F1-4D5E-92CF-135DE465052F}" name="Stĺpec10" headerRowDxfId="282" dataDxfId="281" headerRowCellStyle="Čiarka" dataCellStyle="Čiarka">
      <calculatedColumnFormula>SUM(I31*5%)</calculatedColumnFormula>
    </tableColumn>
    <tableColumn id="11" xr3:uid="{41339821-68CA-41DE-87EC-8E68554B2C94}" name="Stĺpec11" headerRowDxfId="280" dataDxfId="279" headerRowCellStyle="Čiarka" dataCellStyle="Čiarka">
      <calculatedColumnFormula>SUM(J31/12)</calculatedColumnFormula>
    </tableColumn>
    <tableColumn id="12" xr3:uid="{4A951D65-2C49-45A4-A666-204FB37551DD}" name="Stĺpec12" headerRowDxfId="278" dataDxfId="277" headerRowCellStyle="Čiarka" dataCellStyle="Čiarka">
      <calculatedColumnFormula>SUM(C31*1.2)</calculatedColumnFormula>
    </tableColumn>
    <tableColumn id="13" xr3:uid="{36EC2BB7-6524-4C71-AF9C-2560F47C3535}" name="Stĺpec13" headerRowDxfId="276" dataDxfId="275" headerRowCellStyle="Čiarka" dataCellStyle="Čiarka">
      <calculatedColumnFormula>SUM(C31+10)</calculatedColumnFormula>
    </tableColumn>
    <tableColumn id="14" xr3:uid="{C409B499-FAF2-4752-9E63-4608DC282E73}" name="Stĺpec14" headerRowDxfId="274" dataDxfId="273">
      <calculatedColumnFormula>SUM(M30/C30*100)-100</calculatedColumnFormula>
    </tableColumn>
    <tableColumn id="15" xr3:uid="{C27BB49C-E60D-4499-A8EA-868B9ABDF641}" name="Stĺpec15" headerRowDxfId="272" dataDxfId="271" headerRowCellStyle="Čiarka" dataCellStyle="Čiarka">
      <calculatedColumnFormula>SUM(Tabuľka13[[#This Row],[Stĺpec13]]-Tabuľka13[[#This Row],[Stĺpec3]])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B755AC4-8924-405A-BB9B-7B6192D216F1}" name="Tabuľka10" displayName="Tabuľka10" ref="A13:P20" headerRowCount="0" totalsRowShown="0" headerRowDxfId="270" dataDxfId="269" headerRowCellStyle="Čiarka" dataCellStyle="Čiarka">
  <tableColumns count="16">
    <tableColumn id="1" xr3:uid="{D312890D-ADCC-4892-98A6-CE5F2A3D2908}" name="Stĺpec1" headerRowDxfId="268" dataDxfId="267"/>
    <tableColumn id="2" xr3:uid="{37D2EA7A-2405-42EB-BBCB-7CB795F752D6}" name="Stĺpec2"/>
    <tableColumn id="3" xr3:uid="{1A266BEA-765F-40CC-ACA2-47EC910BD3E2}" name="Stĺpec3" headerRowDxfId="266" dataDxfId="265"/>
    <tableColumn id="4" xr3:uid="{8BDCD753-0490-4F68-A277-DCA070DD5BF9}" name="Stĺpec4" headerRowDxfId="264" dataDxfId="263"/>
    <tableColumn id="5" xr3:uid="{3DD195A7-260E-4527-8553-7AA47AFB6169}" name="Stĺpec5" dataDxfId="262"/>
    <tableColumn id="6" xr3:uid="{12BF74C2-8DB7-46CC-A100-E2DB2723CB43}" name="Stĺpec6" dataDxfId="261"/>
    <tableColumn id="7" xr3:uid="{DB3149F7-F844-4ADA-B3EB-6DE4AB43F248}" name="Stĺpec7" headerRowDxfId="260" dataDxfId="259"/>
    <tableColumn id="8" xr3:uid="{DBE44A26-6DB6-44AD-B13D-E451F043EC6C}" name="Stĺpec8" headerRowDxfId="258" dataDxfId="257"/>
    <tableColumn id="9" xr3:uid="{63C6E8C2-05C1-44C6-A7E9-F3A4195D013D}" name="Stĺpec9" headerRowDxfId="256" dataDxfId="255" headerRowCellStyle="Čiarka" dataCellStyle="Čiarka">
      <calculatedColumnFormula>SUM(G14*$L$8)</calculatedColumnFormula>
    </tableColumn>
    <tableColumn id="10" xr3:uid="{921E3E0E-4D0D-47EF-8CFA-7F722ED56BA4}" name="Stĺpec10" headerRowDxfId="254" dataDxfId="253" headerRowCellStyle="Čiarka" dataCellStyle="Čiarka">
      <calculatedColumnFormula>SUM(I14*5%)</calculatedColumnFormula>
    </tableColumn>
    <tableColumn id="11" xr3:uid="{C0322733-EFD9-4A9F-AE50-111A29A81511}" name="Stĺpec11" headerRowDxfId="252" dataDxfId="251" headerRowCellStyle="Čiarka" dataCellStyle="Čiarka">
      <calculatedColumnFormula>SUM(J14/12)</calculatedColumnFormula>
    </tableColumn>
    <tableColumn id="12" xr3:uid="{B705341E-E7F4-4E12-9DC7-3CA5D3A31DAA}" name="Stĺpec12" headerRowDxfId="250" dataDxfId="249" headerRowCellStyle="Čiarka" dataCellStyle="Čiarka">
      <calculatedColumnFormula>SUM(C14*1.2)</calculatedColumnFormula>
    </tableColumn>
    <tableColumn id="13" xr3:uid="{C80F467A-7081-4640-8021-7E484C067A27}" name="Stĺpec13"/>
    <tableColumn id="14" xr3:uid="{D37D038D-16D3-4C72-9886-1BC7A09B1D77}" name="Stĺpec14" headerRowDxfId="248" dataDxfId="247" headerRowCellStyle="Čiarka" dataCellStyle="Čiarka">
      <calculatedColumnFormula>SUM(Tabuľka10[[#This Row],[Stĺpec12]]-Tabuľka10[[#This Row],[Stĺpec3]])</calculatedColumnFormula>
    </tableColumn>
    <tableColumn id="15" xr3:uid="{78C55228-5ED0-400D-A4C3-CC60FF81FCE8}" name="Stĺpec15" headerRowDxfId="246" dataDxfId="245" headerRowCellStyle="Čiarka" dataCellStyle="Čiarka">
      <calculatedColumnFormula>MROUND(L13,2)</calculatedColumnFormula>
    </tableColumn>
    <tableColumn id="16" xr3:uid="{FD21762D-8F84-4731-A870-9B380C404BAF}" name="Stĺpec16" headerRowDxfId="244" dataDxfId="243" headerRowCellStyle="Čiarka" dataCellStyle="Percentá">
      <calculatedColumnFormula>Tabuľka10[[#This Row],[Stĺpec14]]/Tabuľka10[[#This Row],[Stĺpec3]]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6D46420-5C16-4EFF-9294-B978478C4E4A}" name="Tabuľka9" displayName="Tabuľka9" ref="A13:P34" headerRowCount="0" totalsRowShown="0" headerRowDxfId="242" headerRowCellStyle="Čiarka">
  <tableColumns count="16">
    <tableColumn id="1" xr3:uid="{CECD0DB1-AE1C-448F-B2CE-2D41A17F5202}" name="Stĺpec1" headerRowDxfId="241" dataDxfId="240"/>
    <tableColumn id="2" xr3:uid="{924D2FA3-DD75-40DE-98BE-7060F9661884}" name="Stĺpec2" headerRowDxfId="239" dataDxfId="238"/>
    <tableColumn id="3" xr3:uid="{2B7F6545-CCC2-48AF-8934-D86728C00DD7}" name="Stĺpec3" headerRowDxfId="237" dataDxfId="236"/>
    <tableColumn id="4" xr3:uid="{1B5A6883-2517-4E97-8850-0E86963D1259}" name="Stĺpec4" headerRowDxfId="235" dataDxfId="234" headerRowCellStyle="Čiarka" dataCellStyle="Čiarka"/>
    <tableColumn id="5" xr3:uid="{D6F3A275-5A65-4702-8FC0-FDBCE89E0AFB}" name="Stĺpec5" headerRowDxfId="233" dataDxfId="232" headerRowCellStyle="Čiarka" dataCellStyle="Čiarka"/>
    <tableColumn id="6" xr3:uid="{3FA57C4E-9C62-40C2-B3C2-8AA0550A15A4}" name="Stĺpec6" headerRowDxfId="231" dataDxfId="230"/>
    <tableColumn id="7" xr3:uid="{25D720FC-1D63-4232-9EDA-2C15594939CF}" name="Stĺpec7" headerRowDxfId="229" dataDxfId="228"/>
    <tableColumn id="8" xr3:uid="{F8CD8EC2-345F-46EE-880A-AE833915C26D}" name="Stĺpec8" headerRowDxfId="227" dataDxfId="226"/>
    <tableColumn id="9" xr3:uid="{F4829B67-969D-4195-9477-F3F8C16D5C98}" name="Stĺpec9" headerRowDxfId="225" dataDxfId="224"/>
    <tableColumn id="10" xr3:uid="{0A676CE1-E577-43C4-942C-BDAABCD4F6F6}" name="Stĺpec10" headerRowDxfId="223" dataDxfId="222" headerRowCellStyle="Čiarka" dataCellStyle="Čiarka">
      <calculatedColumnFormula>SUM(H14*$L$8)</calculatedColumnFormula>
    </tableColumn>
    <tableColumn id="11" xr3:uid="{87DFE5F3-700A-40CF-9493-F9769F060D16}" name="Stĺpec11" headerRowDxfId="221" dataDxfId="220" headerRowCellStyle="Čiarka" dataCellStyle="Čiarka">
      <calculatedColumnFormula>SUM(J14*5%)</calculatedColumnFormula>
    </tableColumn>
    <tableColumn id="12" xr3:uid="{4B8FA633-736C-4000-A2CC-6893D9253199}" name="Stĺpec12" headerRowDxfId="219" dataDxfId="218" headerRowCellStyle="Čiarka" dataCellStyle="Čiarka">
      <calculatedColumnFormula>SUM(K14/12)</calculatedColumnFormula>
    </tableColumn>
    <tableColumn id="13" xr3:uid="{A6D82D1F-0725-48D2-923C-CBCC572D1BCB}" name="Stĺpec13" headerRowDxfId="217" dataDxfId="216" headerRowCellStyle="Čiarka" dataCellStyle="Čiarka"/>
    <tableColumn id="14" xr3:uid="{89CAE2BD-C336-41AD-9156-D56CD0E467ED}" name="Stĺpec14" dataDxfId="215"/>
    <tableColumn id="15" xr3:uid="{860E20BA-6FCA-4B42-948D-48C82CAAD4C4}" name="Stĺpec15" headerRowDxfId="214" dataDxfId="213" headerRowCellStyle="Čiarka" dataCellStyle="Čiarka">
      <calculatedColumnFormula>SUM(Tabuľka9[[#This Row],[Stĺpec13]]-Tabuľka9[[#This Row],[Stĺpec4]])</calculatedColumnFormula>
    </tableColumn>
    <tableColumn id="16" xr3:uid="{38BEF9D9-B93D-4C7A-A3D9-BFE599A64CAB}" name="Stĺpec16" headerRowDxfId="212" dataDxfId="211" headerRowCellStyle="Čiarka">
      <calculatedColumnFormula>MROUND(M13,2)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6E17DCB-89C6-4964-93BF-3C49DF9134AD}" name="Tabuľka5" displayName="Tabuľka5" ref="A16:R45" headerRowCount="0" totalsRowShown="0">
  <tableColumns count="18">
    <tableColumn id="1" xr3:uid="{8FAB691E-1E97-435D-83E3-D9BD5DD2A7D5}" name="Stĺpec1" headerRowDxfId="210" dataDxfId="209"/>
    <tableColumn id="2" xr3:uid="{B5D40ADE-5A7C-4BD7-9568-EF0D13B82CE3}" name="Stĺpec2" headerRowDxfId="208"/>
    <tableColumn id="3" xr3:uid="{FA93E74C-1F86-48C4-A9C5-1AA42C4F8D27}" name="Stĺpec3" dataCellStyle="Čiarka"/>
    <tableColumn id="4" xr3:uid="{A72567E2-E678-4A71-AC1A-A557437C9DE1}" name="Stĺpec4"/>
    <tableColumn id="5" xr3:uid="{54EA5E6A-FF09-4814-A8B0-EB9ECC00E61C}" name="Stĺpec5"/>
    <tableColumn id="6" xr3:uid="{8229F34C-BF7A-47C1-8AF2-DE3491FFF47E}" name="Stĺpec6"/>
    <tableColumn id="7" xr3:uid="{DC549913-D9F2-47CA-BD8B-093644C01E25}" name="Stĺpec7" headerRowDxfId="207" dataDxfId="206"/>
    <tableColumn id="8" xr3:uid="{3BDC1AD3-DDB9-4FEC-AE3B-D25AC9949EFD}" name="Stĺpec8" headerRowDxfId="205" dataDxfId="204"/>
    <tableColumn id="9" xr3:uid="{64CD397C-3090-4642-AC52-661EFEF7E938}" name="Stĺpec9" headerRowDxfId="203" dataDxfId="202" headerRowCellStyle="Čiarka" dataCellStyle="Čiarka">
      <calculatedColumnFormula>SUM(G17*$I$9)</calculatedColumnFormula>
    </tableColumn>
    <tableColumn id="10" xr3:uid="{B9BADDA1-73F0-477B-A960-EFC0AA55CFF4}" name="Stĺpec10" headerRowDxfId="201" dataDxfId="200" headerRowCellStyle="Čiarka" dataCellStyle="Čiarka">
      <calculatedColumnFormula>SUM(I17*1.2915)</calculatedColumnFormula>
    </tableColumn>
    <tableColumn id="11" xr3:uid="{F383C28F-CBE3-4C1B-A25E-5ADCCF74C70B}" name="Stĺpec11" headerRowDxfId="199" dataDxfId="198" headerRowCellStyle="Čiarka" dataCellStyle="Čiarka">
      <calculatedColumnFormula>SUM(J17*5%)</calculatedColumnFormula>
    </tableColumn>
    <tableColumn id="12" xr3:uid="{8FFD6801-B7F1-4321-820E-89908E28F24C}" name="Stĺpec12" headerRowDxfId="197" dataDxfId="196" headerRowCellStyle="Čiarka" dataCellStyle="Čiarka">
      <calculatedColumnFormula>SUM(K17/12)</calculatedColumnFormula>
    </tableColumn>
    <tableColumn id="13" xr3:uid="{6E1A76EB-90E6-46B2-8FAA-BEAB515B691C}" name="Stĺpec13" headerRowDxfId="195" dataDxfId="194" headerRowCellStyle="Čiarka" dataCellStyle="Čiarka">
      <calculatedColumnFormula>SUM(C17*1.2)</calculatedColumnFormula>
    </tableColumn>
    <tableColumn id="14" xr3:uid="{65B0A7B2-868A-4FED-A91F-93C9C6617C08}" name="Stĺpec14" headerRowDxfId="193" dataDxfId="192">
      <calculatedColumnFormula>SUM(L17-M17)</calculatedColumnFormula>
    </tableColumn>
    <tableColumn id="15" xr3:uid="{7A5CE99C-394C-4976-9469-1A98FF57B625}" name="Stĺpec15" headerRowDxfId="191" dataDxfId="190"/>
    <tableColumn id="16" xr3:uid="{91248468-CF6A-431E-BA8F-BDEBF48AB78B}" name="Stĺpec16" headerRowDxfId="189" dataDxfId="188" headerRowCellStyle="Čiarka" dataCellStyle="Čiarka"/>
    <tableColumn id="17" xr3:uid="{F161B440-47EB-4D76-9E91-49BDE1232A1A}" name="Stĺpec17" headerRowDxfId="187" dataDxfId="186">
      <calculatedColumnFormula>SUM(P17/C17*100)-100</calculatedColumnFormula>
    </tableColumn>
    <tableColumn id="18" xr3:uid="{EDEC4723-661B-49EF-888D-30D02F36A098}" name="Stĺpec172" headerRowDxfId="185" dataDxfId="184">
      <calculatedColumnFormula>SUM(Tabuľka5[[#This Row],[Stĺpec16]]-Tabuľka5[[#This Row],[Stĺpec3]])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6ECFE19-39AE-428F-9D8E-BD146463BBF9}" name="Tabuľka6" displayName="Tabuľka6" ref="A48:R71" headerRowCount="0" totalsRowShown="0">
  <tableColumns count="18">
    <tableColumn id="1" xr3:uid="{77546E0B-D336-466F-9E62-F5317899BC4B}" name="Stĺpec1" headerRowDxfId="183" dataDxfId="182"/>
    <tableColumn id="2" xr3:uid="{ECABE9BD-D6FC-48A9-BC71-B68E27059589}" name="Stĺpec2"/>
    <tableColumn id="3" xr3:uid="{28FD6C52-4BF2-49F2-B73D-2F1852607612}" name="Stĺpec3" dataCellStyle="Čiarka"/>
    <tableColumn id="4" xr3:uid="{A7C09E60-9176-463B-BF34-BCAE8C1885DA}" name="Stĺpec4"/>
    <tableColumn id="5" xr3:uid="{19F5A65F-DD14-45FA-9C9E-5DD1E0B99764}" name="Stĺpec5"/>
    <tableColumn id="6" xr3:uid="{FCE5FE5B-4D09-45AC-B19D-EC7299B91D7B}" name="Stĺpec6"/>
    <tableColumn id="7" xr3:uid="{587D9694-4EC3-4B06-A083-48F25B4D455D}" name="Stĺpec7" headerRowDxfId="181" dataDxfId="180"/>
    <tableColumn id="8" xr3:uid="{C26D6480-1F8B-4200-A252-56FC4030348E}" name="Stĺpec8" headerRowDxfId="179" dataDxfId="178"/>
    <tableColumn id="9" xr3:uid="{E0E51BB6-8240-4ACA-888A-DF170680DC37}" name="Stĺpec9" headerRowDxfId="177" dataDxfId="176" headerRowCellStyle="Čiarka" dataCellStyle="Čiarka">
      <calculatedColumnFormula>SUM(G49*$I$9)</calculatedColumnFormula>
    </tableColumn>
    <tableColumn id="10" xr3:uid="{7D4007DE-4977-4880-821B-41A7F4D8EDDD}" name="Stĺpec10" headerRowDxfId="175" dataDxfId="174" headerRowCellStyle="Čiarka" dataCellStyle="Čiarka">
      <calculatedColumnFormula>SUM(I49*1.2915)</calculatedColumnFormula>
    </tableColumn>
    <tableColumn id="11" xr3:uid="{0252EC78-5742-40AA-8DA3-9BEC243463F0}" name="Stĺpec11" headerRowDxfId="173" dataDxfId="172" headerRowCellStyle="Čiarka" dataCellStyle="Čiarka">
      <calculatedColumnFormula>SUM(J49*5%)</calculatedColumnFormula>
    </tableColumn>
    <tableColumn id="12" xr3:uid="{3897AEA0-DB80-4DED-BDAE-E87D878DC664}" name="Stĺpec12" headerRowDxfId="171" dataDxfId="170" headerRowCellStyle="Čiarka" dataCellStyle="Čiarka">
      <calculatedColumnFormula>SUM(K49/12)</calculatedColumnFormula>
    </tableColumn>
    <tableColumn id="13" xr3:uid="{FEB9C620-9ECB-4454-A000-3A0EB26507F7}" name="Stĺpec13" headerRowDxfId="169" dataDxfId="168" headerRowCellStyle="Čiarka" dataCellStyle="Čiarka">
      <calculatedColumnFormula>SUM(C49*1.2)</calculatedColumnFormula>
    </tableColumn>
    <tableColumn id="14" xr3:uid="{62BAFA2C-DC60-4426-82B2-D571EFE571A5}" name="Stĺpec14" headerRowDxfId="167" dataDxfId="166">
      <calculatedColumnFormula>SUM(L49-M49)</calculatedColumnFormula>
    </tableColumn>
    <tableColumn id="15" xr3:uid="{78983661-7D92-437F-A174-2F13FDECF54C}" name="Stĺpec15" headerRowDxfId="165" dataDxfId="164"/>
    <tableColumn id="16" xr3:uid="{293FD026-E63D-428A-94A5-3A9742102A6D}" name="Stĺpec16" headerRowDxfId="163" dataDxfId="162" headerRowCellStyle="Čiarka" dataCellStyle="Čiarka"/>
    <tableColumn id="17" xr3:uid="{5B130E3D-ADAD-4A10-A5F2-9574999155DD}" name="Stĺpec17" headerRowDxfId="161" dataDxfId="160">
      <calculatedColumnFormula>SUM(P49/C49*100)-100</calculatedColumnFormula>
    </tableColumn>
    <tableColumn id="18" xr3:uid="{AED2F475-FB5C-43B7-8F1E-FD546198FE49}" name="Stĺpec18" dataDxfId="159">
      <calculatedColumnFormula>SUM(Tabuľka6[[#This Row],[Stĺpec16]]-Tabuľka6[[#This Row],[Stĺpec3]])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37AD66E-2CE0-4F44-9D56-FF660B764206}" name="Tabuľka8" displayName="Tabuľka8" ref="A16:Q67" headerRowCount="0" totalsRowShown="0">
  <tableColumns count="17">
    <tableColumn id="1" xr3:uid="{FB6094C0-1536-4DB9-BCC8-4F31BDB08A50}" name="Stĺpec1" headerRowDxfId="158" dataDxfId="157"/>
    <tableColumn id="2" xr3:uid="{54088309-BC8F-49CA-928F-20A9FFFA4616}" name="Stĺpec2"/>
    <tableColumn id="3" xr3:uid="{1C11E7FC-34AA-4205-8965-C234E82EFAF6}" name="Stĺpec3" headerRowDxfId="156" dataDxfId="155"/>
    <tableColumn id="4" xr3:uid="{E5DCA7BE-94EA-4F45-9005-0568B93E8DD3}" name="Stĺpec4" headerRowDxfId="154" dataDxfId="153"/>
    <tableColumn id="5" xr3:uid="{521046A2-D54F-41E7-9E6B-DD7E3383C108}" name="Stĺpec5"/>
    <tableColumn id="6" xr3:uid="{591F9C7E-1B5B-499E-B0B5-5DAFB185BC12}" name="Stĺpec6"/>
    <tableColumn id="7" xr3:uid="{FDA66C8E-FE8C-45B1-BCB0-F35B22039CA3}" name="Stĺpec7" headerRowDxfId="152" dataDxfId="151"/>
    <tableColumn id="8" xr3:uid="{0F24AA8D-B294-449A-9681-6B0BC1E71C64}" name="Stĺpec8" headerRowDxfId="150" dataDxfId="149"/>
    <tableColumn id="9" xr3:uid="{19F9BBEE-0F8F-48A2-AEEA-B26898AFED07}" name="Stĺpec9" headerRowDxfId="148" dataDxfId="147" headerRowCellStyle="Čiarka" dataCellStyle="Čiarka">
      <calculatedColumnFormula>SUM(G17*$I$9)</calculatedColumnFormula>
    </tableColumn>
    <tableColumn id="10" xr3:uid="{735D9E70-F69E-47AA-AC47-CBE4E9E80A27}" name="Stĺpec10" headerRowDxfId="146" dataDxfId="145" headerRowCellStyle="Čiarka" dataCellStyle="Čiarka">
      <calculatedColumnFormula>SUM(I17*1.2915)</calculatedColumnFormula>
    </tableColumn>
    <tableColumn id="11" xr3:uid="{633A9E14-1DBE-4833-9A28-1A8ED146CC6B}" name="Stĺpec11" headerRowDxfId="144" dataDxfId="143" headerRowCellStyle="Čiarka" dataCellStyle="Čiarka">
      <calculatedColumnFormula>SUM(J17*5%)</calculatedColumnFormula>
    </tableColumn>
    <tableColumn id="12" xr3:uid="{3B34F7B3-56DE-4C57-B131-400D5EB6D92F}" name="Stĺpec12" headerRowDxfId="142" dataDxfId="141" headerRowCellStyle="Čiarka" dataCellStyle="Čiarka">
      <calculatedColumnFormula>SUM(K17/12)</calculatedColumnFormula>
    </tableColumn>
    <tableColumn id="13" xr3:uid="{1CFCB741-EC82-46E5-89FF-B6084BD4F47D}" name="Stĺpec13" headerRowDxfId="140" dataDxfId="139" headerRowCellStyle="Čiarka" dataCellStyle="Čiarka">
      <calculatedColumnFormula>SUM(C17*1.2)</calculatedColumnFormula>
    </tableColumn>
    <tableColumn id="14" xr3:uid="{A4B9E289-E5B9-4B21-B5C9-D503CBA6A1B9}" name="Stĺpec14" headerRowDxfId="138" dataDxfId="137">
      <calculatedColumnFormula>SUM(M17)</calculatedColumnFormula>
    </tableColumn>
    <tableColumn id="15" xr3:uid="{9FDF3882-8921-4D9F-A49A-06AA08F107CD}" name="Stĺpec15" headerRowDxfId="136" dataDxfId="135" headerRowCellStyle="Čiarka" dataCellStyle="Čiarka"/>
    <tableColumn id="16" xr3:uid="{303704E2-23D3-4241-854F-646D4BA03694}" name="Stĺpec16" headerRowDxfId="134" dataDxfId="133">
      <calculatedColumnFormula>SUM(O17/C17*100)-100</calculatedColumnFormula>
    </tableColumn>
    <tableColumn id="17" xr3:uid="{8CFDC8DE-D588-4DF0-98E2-B1D68D05B436}" name="Stĺpec17" dataDxfId="132">
      <calculatedColumnFormula>SUM(Tabuľka8[[#This Row],[Stĺpec15]]-Tabuľka8[[#This Row],[Stĺpec3]])</calculatedColumnFormula>
    </tableColumn>
  </tableColumns>
  <tableStyleInfo name="TableStyleMedium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8C42A0-9A86-40AE-B4CF-0FF0537E6599}" name="Tabuľka1" displayName="Tabuľka1" ref="A7:AF30" headerRowCount="0" totalsRowShown="0" headerRowDxfId="131" dataDxfId="130">
  <tableColumns count="32">
    <tableColumn id="1" xr3:uid="{25D92652-E40B-4AEA-BB2A-7AD3485C70AB}" name="Stĺpec1" headerRowDxfId="129" dataDxfId="128" headerRowCellStyle="Normálna 2" dataCellStyle="Normálna 2"/>
    <tableColumn id="2" xr3:uid="{D1B1122B-6D98-4816-B45F-88D88B367B2B}" name="Stĺpec2" headerRowDxfId="127" dataDxfId="126" headerRowCellStyle="Normálna 2" dataCellStyle="Normálna 2"/>
    <tableColumn id="3" xr3:uid="{AEDCB821-3F58-44CA-97B7-337F448DDBB7}" name="Stĺpec3" headerRowDxfId="125" dataDxfId="124" headerRowCellStyle="Normálna 2" dataCellStyle="Normálna 2"/>
    <tableColumn id="4" xr3:uid="{BD7D8278-CCD8-4631-84C2-1A9C711F9B29}" name="Stĺpec4" headerRowDxfId="123" dataDxfId="122" headerRowCellStyle="Normálna 2" dataCellStyle="Normálna 2"/>
    <tableColumn id="5" xr3:uid="{EAAB17A2-B553-4E2F-8084-7107CF6FBC35}" name="Stĺpec5" headerRowDxfId="121" dataDxfId="120" headerRowCellStyle="Normálna 2" dataCellStyle="Normálna 2"/>
    <tableColumn id="6" xr3:uid="{933760EC-00DA-4E88-BA2C-A33C11B14507}" name="Stĺpec6" headerRowDxfId="119" dataDxfId="118" headerRowCellStyle="Čiarka" dataCellStyle="Čiarka">
      <calculatedColumnFormula>SUM(D8:E8)</calculatedColumnFormula>
    </tableColumn>
    <tableColumn id="7" xr3:uid="{30CAB4CD-784F-4E74-A76F-66642647954A}" name="Stĺpec7" headerRowDxfId="117" dataDxfId="116" headerRowCellStyle="Čiarka" dataCellStyle="Čiarka">
      <calculatedColumnFormula>$G$32/$B$32*B8</calculatedColumnFormula>
    </tableColumn>
    <tableColumn id="8" xr3:uid="{AA7B66CC-8007-4F21-BF39-43850B5EAE89}" name="Stĺpec8" headerRowDxfId="115" dataDxfId="114" headerRowCellStyle="Čiarka" dataCellStyle="Čiarka">
      <calculatedColumnFormula>G8/12</calculatedColumnFormula>
    </tableColumn>
    <tableColumn id="9" xr3:uid="{0870E0E4-9809-4818-90D6-23FFF13EF4A9}" name="Stĺpec9" headerRowDxfId="113" dataDxfId="112" headerRowCellStyle="Čiarka" dataCellStyle="Čiarka">
      <calculatedColumnFormula>$I$32/$B$32*B8</calculatedColumnFormula>
    </tableColumn>
    <tableColumn id="10" xr3:uid="{A97303E2-6EBA-4830-B958-8610CDC7B85D}" name="Stĺpec10" headerRowDxfId="111" dataDxfId="110" headerRowCellStyle="Čiarka" dataCellStyle="Čiarka">
      <calculatedColumnFormula>SUM(I8/12)</calculatedColumnFormula>
    </tableColumn>
    <tableColumn id="11" xr3:uid="{7E6231BD-C5CB-4FE2-874B-C29EDFC764D5}" name="Stĺpec11" headerRowDxfId="109" dataDxfId="108" headerRowCellStyle="Normálna 2" dataCellStyle="Normálna 2"/>
    <tableColumn id="12" xr3:uid="{C63DF019-E889-4BDD-A243-243E5BB43E89}" name="Stĺpec12" headerRowDxfId="107" dataDxfId="106" headerRowCellStyle="Normálna 2" dataCellStyle="Normálna 2"/>
    <tableColumn id="13" xr3:uid="{9985F049-B05F-419B-AFEC-432AE9655EED}" name="Stĺpec13" headerRowDxfId="105" dataDxfId="104" headerRowCellStyle="Normálna 2" dataCellStyle="Normálna 2"/>
    <tableColumn id="14" xr3:uid="{E8C9FD49-BE98-44E6-BCC3-F1793213D8AF}" name="Stĺpec14" headerRowDxfId="103" dataDxfId="102" headerRowCellStyle="Normálna 2" dataCellStyle="Normálna 2"/>
    <tableColumn id="15" xr3:uid="{52A07EF8-0163-46C1-B5AF-162A386FE29C}" name="Stĺpec15" headerRowDxfId="101" dataDxfId="100" headerRowCellStyle="Normálna 2" dataCellStyle="Normálna 2">
      <calculatedColumnFormula>SUM(J8-L8-M8-N8)</calculatedColumnFormula>
    </tableColumn>
    <tableColumn id="16" xr3:uid="{CE994EB9-925E-4B6C-A68C-66F2236852BC}" name="Stĺpec16" headerRowDxfId="99" dataDxfId="98" headerRowCellStyle="Normálna 2" dataCellStyle="Normálna 2">
      <calculatedColumnFormula>SUM(L8:O8)</calculatedColumnFormula>
    </tableColumn>
    <tableColumn id="17" xr3:uid="{F7243C0B-F0AB-48A2-B38A-6E3397B67BB2}" name="Stĺpec17" headerRowDxfId="97" dataDxfId="96" headerRowCellStyle="Normálna 2" dataCellStyle="Normálna 2">
      <calculatedColumnFormula>J8</calculatedColumnFormula>
    </tableColumn>
    <tableColumn id="18" xr3:uid="{4AFBD28A-3063-4530-BB84-FA19EBD99C28}" name="Stĺpec18" headerRowDxfId="95" dataDxfId="94" headerRowCellStyle="Normálna 2" dataCellStyle="Normálna 2"/>
    <tableColumn id="19" xr3:uid="{AC8765DD-532F-405B-83D1-477F1B44DBBD}" name="Stĺpec19" headerRowDxfId="93" dataDxfId="92" headerRowCellStyle="Čiarka" dataCellStyle="Čiarka">
      <calculatedColumnFormula>SUM(F8*1.1745)</calculatedColumnFormula>
    </tableColumn>
    <tableColumn id="20" xr3:uid="{E59F0FB2-A34F-4C31-BAF8-DB08DB4ED612}" name="Stĺpec20" headerRowDxfId="91" dataDxfId="90" headerRowCellStyle="Čiarka" dataCellStyle="Čiarka">
      <calculatedColumnFormula>SUM(S8*5%)</calculatedColumnFormula>
    </tableColumn>
    <tableColumn id="21" xr3:uid="{FC2A2194-4569-4CD2-B489-37342B2D2F4A}" name="Stĺpec21" headerRowDxfId="89" dataDxfId="88" headerRowCellStyle="Čiarka" dataCellStyle="Čiarka">
      <calculatedColumnFormula>T8/12</calculatedColumnFormula>
    </tableColumn>
    <tableColumn id="22" xr3:uid="{0CC283E0-7635-4E8A-910C-89BE7663A5D0}" name="Stĺpec22" headerRowDxfId="87" dataDxfId="86" headerRowCellStyle="Čiarka" dataCellStyle="Čiarka">
      <calculatedColumnFormula>SUM(S8*4.5%)</calculatedColumnFormula>
    </tableColumn>
    <tableColumn id="23" xr3:uid="{D7661FB6-B3BF-4878-AF9A-266C92A81C87}" name="Stĺpec23" headerRowDxfId="85" dataDxfId="84" headerRowCellStyle="Čiarka" dataCellStyle="Čiarka">
      <calculatedColumnFormula>V8/12</calculatedColumnFormula>
    </tableColumn>
    <tableColumn id="24" xr3:uid="{43BB81AD-D116-485C-9A3A-2B022586491F}" name="Stĺpec24" headerRowDxfId="83" dataDxfId="82" headerRowCellStyle="Čiarka" dataCellStyle="Čiarka">
      <calculatedColumnFormula>W8-J8</calculatedColumnFormula>
    </tableColumn>
    <tableColumn id="25" xr3:uid="{550F82B6-6D4D-4696-BDDE-5D392BAF76E1}" name="Stĺpec25" headerRowDxfId="81" dataDxfId="80" headerRowCellStyle="Percentá" dataCellStyle="Percentá">
      <calculatedColumnFormula>X8/J8</calculatedColumnFormula>
    </tableColumn>
    <tableColumn id="26" xr3:uid="{CC2F638A-1DEF-4B8D-814A-FD937D30B787}" name="Stĺpec26" headerRowDxfId="79" dataDxfId="78" headerRowCellStyle="Normálna 2" dataCellStyle="Normálna 2"/>
    <tableColumn id="27" xr3:uid="{C1679384-3827-483D-B06F-3B1D4BC4B32E}" name="Stĺpec27" headerRowDxfId="77" dataDxfId="76" headerRowCellStyle="Normálna 2" dataCellStyle="Normálna 2">
      <calculatedColumnFormula>SUM(W8*6)</calculatedColumnFormula>
    </tableColumn>
    <tableColumn id="28" xr3:uid="{A1749E83-3363-40E4-91DA-0F9B550CFD6E}" name="Stĺpec28" headerRowDxfId="75" dataDxfId="74" headerRowCellStyle="Čiarka" dataCellStyle="Čiarka">
      <calculatedColumnFormula>SUM(AA8-R8)</calculatedColumnFormula>
    </tableColumn>
    <tableColumn id="29" xr3:uid="{1F3293E4-6704-40D9-86BF-D60876ABE9FC}" name="Stĺpec29" headerRowDxfId="73" dataDxfId="72" headerRowCellStyle="Normálna 2" dataCellStyle="Normálna 2"/>
    <tableColumn id="30" xr3:uid="{9F8D0905-84F9-42E5-AF08-9BF1B339D6BB}" name="Stĺpec30" headerRowDxfId="71" dataDxfId="70">
      <calculatedColumnFormula>($AC$32/$B$32*B8)/12</calculatedColumnFormula>
    </tableColumn>
    <tableColumn id="31" xr3:uid="{91472CA8-B1CA-4130-9DC1-B99734BD24C0}" name="Stĺpec31" headerRowDxfId="69" dataDxfId="68" headerRowCellStyle="Čiarka" dataCellStyle="Čiarka">
      <calculatedColumnFormula>SUM(F8*0.0075/12)</calculatedColumnFormula>
    </tableColumn>
    <tableColumn id="32" xr3:uid="{92FF1F36-99F0-4449-BC4D-F92C9D10D8CF}" name="Stĺpec32" headerRowDxfId="67" dataDxfId="66" headerRowCellStyle="Čiarka" dataCellStyle="Čiarka">
      <calculatedColumnFormula>SUM(W8-J8)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3D9647-03AE-4D5B-AA79-EE42725E9C33}" name="Tabuľka2" displayName="Tabuľka2" ref="A6:AF29" headerRowCount="0" totalsRowShown="0" headerRowDxfId="65" dataDxfId="64" headerRowCellStyle="Čiarka" dataCellStyle="Čiarka">
  <tableColumns count="32">
    <tableColumn id="1" xr3:uid="{7DEAAEC1-3821-44B3-875A-D763BC6F92D7}" name="Stĺpec1" headerRowDxfId="63" dataDxfId="62" headerRowCellStyle="Normálna 2" dataCellStyle="Normálna 2"/>
    <tableColumn id="2" xr3:uid="{1FCDDCEE-CF48-4AD5-8117-F77859A76687}" name="Stĺpec2" headerRowDxfId="61" dataDxfId="60" headerRowCellStyle="Normálna 2" dataCellStyle="Normálna 2"/>
    <tableColumn id="3" xr3:uid="{F908823D-E4E4-4A30-9439-C263628DC38D}" name="Stĺpec3" headerRowDxfId="59" dataDxfId="58" headerRowCellStyle="Normálna 2" dataCellStyle="Normálna 2"/>
    <tableColumn id="4" xr3:uid="{3FBFF73F-3203-458B-8413-DD1964FB8488}" name="Stĺpec4" headerRowDxfId="57" dataDxfId="56" headerRowCellStyle="Normálna 2" dataCellStyle="Normálna 2"/>
    <tableColumn id="5" xr3:uid="{98A47B12-DEA5-44F7-A013-D79769C89C1B}" name="Stĺpec5" headerRowDxfId="55" dataDxfId="54" headerRowCellStyle="Normálna 2" dataCellStyle="Normálna 2"/>
    <tableColumn id="6" xr3:uid="{2F1EA27B-0053-4A30-87CB-9CEA98548FA9}" name="Stĺpec6" headerRowDxfId="53" dataDxfId="52" headerRowCellStyle="Čiarka" dataCellStyle="Čiarka">
      <calculatedColumnFormula>SUM(D7:E7)</calculatedColumnFormula>
    </tableColumn>
    <tableColumn id="7" xr3:uid="{80BD9807-DFE0-4C49-AB96-8A36E7782694}" name="Stĺpec7" headerRowDxfId="51" dataDxfId="50" headerRowCellStyle="Čiarka" dataCellStyle="Čiarka">
      <calculatedColumnFormula>$G$31/$B$31*B7</calculatedColumnFormula>
    </tableColumn>
    <tableColumn id="8" xr3:uid="{17E3D8A8-96FA-4B50-992E-5585CD3FA7E5}" name="Stĺpec8" headerRowDxfId="49" dataDxfId="48" headerRowCellStyle="Čiarka" dataCellStyle="Čiarka">
      <calculatedColumnFormula>G7/12</calculatedColumnFormula>
    </tableColumn>
    <tableColumn id="9" xr3:uid="{B1043A61-7F9F-4EA0-B0A5-6186269BBDC4}" name="Stĺpec9" headerRowDxfId="47" dataDxfId="46" headerRowCellStyle="Čiarka" dataCellStyle="Čiarka">
      <calculatedColumnFormula>$I$31/$B$31*B7</calculatedColumnFormula>
    </tableColumn>
    <tableColumn id="10" xr3:uid="{13D9F25B-CC43-4BE7-83B3-80302121F743}" name="Stĺpec10" headerRowDxfId="45" dataDxfId="44" headerRowCellStyle="Čiarka" dataCellStyle="Čiarka">
      <calculatedColumnFormula>SUM(I7/12)</calculatedColumnFormula>
    </tableColumn>
    <tableColumn id="11" xr3:uid="{41459B16-4F7E-42D5-9951-2A02DDC4123D}" name="Stĺpec11" headerRowDxfId="43" dataDxfId="42" headerRowCellStyle="Normálna 2" dataCellStyle="Normálna 2"/>
    <tableColumn id="12" xr3:uid="{EF269F14-EE25-43A4-B3A5-9A16CE24E2A9}" name="Stĺpec12" headerRowDxfId="41" dataDxfId="40" headerRowCellStyle="Normálna 2" dataCellStyle="Normálna 2"/>
    <tableColumn id="13" xr3:uid="{77B81D85-61FF-4543-A9ED-5B56C2DA919D}" name="Stĺpec13" headerRowDxfId="39" dataDxfId="38" headerRowCellStyle="Normálna 2" dataCellStyle="Normálna 2"/>
    <tableColumn id="14" xr3:uid="{A5D77977-C3A4-48F3-87B9-4C72F9E9EA41}" name="Stĺpec14" headerRowDxfId="37" dataDxfId="36" headerRowCellStyle="Normálna 2" dataCellStyle="Normálna 2"/>
    <tableColumn id="15" xr3:uid="{F0918C78-D00A-41E9-9451-BBFE9CD45F0D}" name="Stĺpec15" headerRowDxfId="35" dataDxfId="34" headerRowCellStyle="Normálna 2" dataCellStyle="Normálna 2">
      <calculatedColumnFormula>SUM(J7-L7-M7-N7)</calculatedColumnFormula>
    </tableColumn>
    <tableColumn id="16" xr3:uid="{22F5EC15-67B6-48E1-BEEF-C9DF87E57786}" name="Stĺpec16" headerRowDxfId="33" dataDxfId="32" headerRowCellStyle="Normálna 2" dataCellStyle="Normálna 2">
      <calculatedColumnFormula>SUM(L7:O7)</calculatedColumnFormula>
    </tableColumn>
    <tableColumn id="17" xr3:uid="{A2A7D3A2-A631-4192-B5BC-62D5F1F545A3}" name="Stĺpec17" headerRowDxfId="31" dataDxfId="30" headerRowCellStyle="Normálna 2" dataCellStyle="Normálna 2">
      <calculatedColumnFormula>J7</calculatedColumnFormula>
    </tableColumn>
    <tableColumn id="18" xr3:uid="{E5717F73-A886-40B1-86F6-186C8CAE46BD}" name="Stĺpec18" headerRowDxfId="29" dataDxfId="28" headerRowCellStyle="Normálna 2" dataCellStyle="Normálna 2">
      <calculatedColumnFormula>SUM(J7*6)</calculatedColumnFormula>
    </tableColumn>
    <tableColumn id="19" xr3:uid="{A4AA63C5-D6DA-413E-8512-48E3A2405B19}" name="Stĺpec19" headerRowDxfId="27" dataDxfId="26" headerRowCellStyle="Čiarka" dataCellStyle="Čiarka">
      <calculatedColumnFormula>SUM(F7*1.142)</calculatedColumnFormula>
    </tableColumn>
    <tableColumn id="20" xr3:uid="{A7BD8F8D-EFC6-49F3-9BF4-AC91BCB8FA21}" name="Stĺpec20" headerRowDxfId="25" dataDxfId="24" headerRowCellStyle="Čiarka" dataCellStyle="Čiarka">
      <calculatedColumnFormula>SUM(S7*5%)</calculatedColumnFormula>
    </tableColumn>
    <tableColumn id="21" xr3:uid="{B32AAD17-6085-496A-ACE5-76DE58A65A90}" name="Stĺpec21" headerRowDxfId="23" dataDxfId="22" headerRowCellStyle="Čiarka" dataCellStyle="Čiarka">
      <calculatedColumnFormula>T7/12</calculatedColumnFormula>
    </tableColumn>
    <tableColumn id="22" xr3:uid="{05E6A349-48E7-4110-B1A6-C110C93E27FF}" name="Stĺpec22" headerRowDxfId="21" dataDxfId="20" headerRowCellStyle="Čiarka" dataCellStyle="Čiarka">
      <calculatedColumnFormula>SUM(S7*4.5%)</calculatedColumnFormula>
    </tableColumn>
    <tableColumn id="23" xr3:uid="{8236F846-FCF0-4E85-91D2-EE6DA0FDA2BA}" name="Stĺpec23" headerRowDxfId="19" dataDxfId="18" headerRowCellStyle="Čiarka" dataCellStyle="Čiarka">
      <calculatedColumnFormula>V7/12</calculatedColumnFormula>
    </tableColumn>
    <tableColumn id="24" xr3:uid="{60F43A1F-C7E6-41A0-97FB-45A48AB3EA5F}" name="Stĺpec24" headerRowDxfId="17" dataDxfId="16" headerRowCellStyle="Čiarka" dataCellStyle="Čiarka">
      <calculatedColumnFormula>W7-J7</calculatedColumnFormula>
    </tableColumn>
    <tableColumn id="25" xr3:uid="{CBB9A1A2-9CC9-422D-BF86-F809E436140A}" name="Stĺpec25" headerRowDxfId="15" dataDxfId="14" headerRowCellStyle="Percentá" dataCellStyle="Percentá">
      <calculatedColumnFormula>X7/J7</calculatedColumnFormula>
    </tableColumn>
    <tableColumn id="26" xr3:uid="{DFDDB1A7-3713-4DF2-88F6-C8125EE7F024}" name="Stĺpec26" headerRowDxfId="13" dataDxfId="12" headerRowCellStyle="Normálna 2" dataCellStyle="Normálna 2">
      <calculatedColumnFormula>SUM(R7*6)</calculatedColumnFormula>
    </tableColumn>
    <tableColumn id="27" xr3:uid="{E842B68D-CE8F-4884-B792-17A56CDF50F1}" name="Stĺpec27" headerRowDxfId="11" dataDxfId="10" headerRowCellStyle="Normálna 2" dataCellStyle="Normálna 2">
      <calculatedColumnFormula>SUM(W7*6)</calculatedColumnFormula>
    </tableColumn>
    <tableColumn id="28" xr3:uid="{C8E4B45F-5FB1-45DC-8860-B56B7EB6DF26}" name="Stĺpec28" headerRowDxfId="9" dataDxfId="8" headerRowCellStyle="Čiarka" dataCellStyle="Čiarka">
      <calculatedColumnFormula>SUM(AA7-R7)</calculatedColumnFormula>
    </tableColumn>
    <tableColumn id="29" xr3:uid="{B8CFA490-0BCB-4AFB-9AE4-77C6DEAEFFFD}" name="Stĺpec29" headerRowDxfId="7" dataDxfId="6" headerRowCellStyle="Normálna 2" dataCellStyle="Normálna 2"/>
    <tableColumn id="30" xr3:uid="{ED6B686A-FCDF-435F-BBFC-FFEC8697EAEC}" name="Stĺpec30" headerRowDxfId="5" dataDxfId="4">
      <calculatedColumnFormula>($AC$31/$B$31*B7)/12</calculatedColumnFormula>
    </tableColumn>
    <tableColumn id="31" xr3:uid="{8627B5AA-4E3C-4DD6-A88C-5662A5FC608C}" name="Stĺpec31" headerRowDxfId="3" dataDxfId="2" headerRowCellStyle="Čiarka" dataCellStyle="Čiarka">
      <calculatedColumnFormula>SUM(F7*0.0075/12)</calculatedColumnFormula>
    </tableColumn>
    <tableColumn id="32" xr3:uid="{D500188D-A048-4CF3-8252-0E11691D0C20}" name="Stĺpec32" headerRowDxfId="1" dataDxfId="0" headerRowCellStyle="Čiarka" dataCellStyle="Čiarka">
      <calculatedColumnFormula>SUM(W7-J7)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DC8F-4836-40F8-AEA0-376B4523E7EF}">
  <dimension ref="A1:B13"/>
  <sheetViews>
    <sheetView workbookViewId="0">
      <selection activeCell="B3" sqref="B3"/>
    </sheetView>
  </sheetViews>
  <sheetFormatPr defaultRowHeight="15" x14ac:dyDescent="0.2"/>
  <cols>
    <col min="1" max="1" width="14.44140625" customWidth="1"/>
    <col min="2" max="2" width="8.88671875" style="22"/>
  </cols>
  <sheetData>
    <row r="1" spans="1:2" x14ac:dyDescent="0.2">
      <c r="A1" t="s">
        <v>281</v>
      </c>
    </row>
    <row r="2" spans="1:2" x14ac:dyDescent="0.2">
      <c r="B2" s="22" t="s">
        <v>369</v>
      </c>
    </row>
    <row r="3" spans="1:2" x14ac:dyDescent="0.2">
      <c r="A3" s="11" t="s">
        <v>287</v>
      </c>
      <c r="B3" s="52" t="s">
        <v>277</v>
      </c>
    </row>
    <row r="4" spans="1:2" x14ac:dyDescent="0.2">
      <c r="A4" s="11" t="s">
        <v>286</v>
      </c>
      <c r="B4" s="52" t="s">
        <v>274</v>
      </c>
    </row>
    <row r="5" spans="1:2" x14ac:dyDescent="0.2">
      <c r="A5" s="11" t="s">
        <v>285</v>
      </c>
      <c r="B5" s="52" t="s">
        <v>274</v>
      </c>
    </row>
    <row r="6" spans="1:2" x14ac:dyDescent="0.2">
      <c r="A6" s="11" t="s">
        <v>284</v>
      </c>
      <c r="B6" s="52" t="s">
        <v>274</v>
      </c>
    </row>
    <row r="7" spans="1:2" x14ac:dyDescent="0.2">
      <c r="A7" s="11" t="s">
        <v>282</v>
      </c>
      <c r="B7" s="52" t="s">
        <v>283</v>
      </c>
    </row>
    <row r="8" spans="1:2" x14ac:dyDescent="0.2">
      <c r="A8" t="s">
        <v>289</v>
      </c>
      <c r="B8" s="22" t="s">
        <v>350</v>
      </c>
    </row>
    <row r="9" spans="1:2" x14ac:dyDescent="0.2">
      <c r="A9" s="11" t="s">
        <v>290</v>
      </c>
      <c r="B9" s="52" t="s">
        <v>276</v>
      </c>
    </row>
    <row r="10" spans="1:2" x14ac:dyDescent="0.2">
      <c r="A10" t="s">
        <v>293</v>
      </c>
      <c r="B10" s="22" t="s">
        <v>350</v>
      </c>
    </row>
    <row r="11" spans="1:2" x14ac:dyDescent="0.2">
      <c r="A11" s="11" t="s">
        <v>292</v>
      </c>
      <c r="B11" s="52" t="s">
        <v>279</v>
      </c>
    </row>
    <row r="12" spans="1:2" x14ac:dyDescent="0.2">
      <c r="A12" t="s">
        <v>291</v>
      </c>
      <c r="B12" s="22" t="s">
        <v>278</v>
      </c>
    </row>
    <row r="13" spans="1:2" x14ac:dyDescent="0.2">
      <c r="A13" t="s">
        <v>288</v>
      </c>
      <c r="B13" s="22" t="s">
        <v>275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F6F68-4D46-45A9-B646-98FAB3E48665}">
  <sheetPr>
    <pageSetUpPr fitToPage="1"/>
  </sheetPr>
  <dimension ref="A1:AL88"/>
  <sheetViews>
    <sheetView zoomScaleNormal="100" workbookViewId="0">
      <selection activeCell="AQ24" sqref="AQ24"/>
    </sheetView>
  </sheetViews>
  <sheetFormatPr defaultColWidth="9.77734375" defaultRowHeight="12.75" x14ac:dyDescent="0.2"/>
  <cols>
    <col min="1" max="1" width="7.33203125" style="99" customWidth="1"/>
    <col min="2" max="2" width="6.33203125" style="99" hidden="1" customWidth="1"/>
    <col min="3" max="3" width="6.5546875" style="99" hidden="1" customWidth="1"/>
    <col min="4" max="4" width="10.5546875" style="20" hidden="1" customWidth="1"/>
    <col min="5" max="5" width="8.88671875" style="20" hidden="1" customWidth="1"/>
    <col min="6" max="6" width="10.109375" style="20" hidden="1" customWidth="1"/>
    <col min="7" max="7" width="9.77734375" style="20" hidden="1" customWidth="1"/>
    <col min="8" max="8" width="9" style="20" hidden="1" customWidth="1"/>
    <col min="9" max="9" width="9.88671875" style="20" hidden="1" customWidth="1"/>
    <col min="10" max="10" width="10" style="20" bestFit="1" customWidth="1"/>
    <col min="11" max="11" width="7" style="20" hidden="1" customWidth="1"/>
    <col min="12" max="12" width="8" style="20" hidden="1" customWidth="1"/>
    <col min="13" max="13" width="9" style="20" hidden="1" customWidth="1"/>
    <col min="14" max="14" width="10.33203125" style="20" hidden="1" customWidth="1"/>
    <col min="15" max="15" width="7" style="20" hidden="1" customWidth="1"/>
    <col min="16" max="16" width="10.88671875" style="20" hidden="1" customWidth="1"/>
    <col min="17" max="18" width="8.44140625" style="20" hidden="1" customWidth="1"/>
    <col min="19" max="19" width="11.6640625" style="20" hidden="1" customWidth="1"/>
    <col min="20" max="20" width="9.33203125" style="20" hidden="1" customWidth="1"/>
    <col min="21" max="21" width="9" style="20" hidden="1" customWidth="1"/>
    <col min="22" max="22" width="9.33203125" style="20" hidden="1" customWidth="1"/>
    <col min="23" max="23" width="10" style="20" bestFit="1" customWidth="1"/>
    <col min="24" max="24" width="26.5546875" style="20" customWidth="1"/>
    <col min="25" max="26" width="10" style="20" hidden="1" customWidth="1"/>
    <col min="27" max="27" width="8.44140625" style="20" hidden="1" customWidth="1"/>
    <col min="28" max="28" width="9.77734375" style="20" hidden="1" customWidth="1"/>
    <col min="29" max="29" width="8" style="20" hidden="1" customWidth="1"/>
    <col min="30" max="30" width="7.21875" style="20" hidden="1" customWidth="1"/>
    <col min="31" max="31" width="8.21875" style="20" hidden="1" customWidth="1"/>
    <col min="32" max="32" width="9" style="20" hidden="1" customWidth="1"/>
    <col min="33" max="33" width="8.21875" style="20" hidden="1" customWidth="1"/>
    <col min="34" max="36" width="7.21875" style="20" hidden="1" customWidth="1"/>
    <col min="37" max="37" width="4.77734375" style="100" hidden="1" customWidth="1"/>
    <col min="38" max="40" width="0" style="99" hidden="1" customWidth="1"/>
    <col min="41" max="16384" width="9.77734375" style="99"/>
  </cols>
  <sheetData>
    <row r="1" spans="1:38" s="97" customFormat="1" ht="15" customHeight="1" x14ac:dyDescent="0.25">
      <c r="A1" s="136" t="s">
        <v>367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98"/>
    </row>
    <row r="3" spans="1:38" hidden="1" x14ac:dyDescent="0.2">
      <c r="A3" s="99">
        <v>1</v>
      </c>
      <c r="B3" s="99">
        <v>2</v>
      </c>
      <c r="C3" s="99">
        <v>3</v>
      </c>
      <c r="D3" s="20">
        <v>4</v>
      </c>
      <c r="E3" s="20">
        <v>5</v>
      </c>
      <c r="F3" s="20">
        <v>7</v>
      </c>
      <c r="G3" s="20">
        <v>8</v>
      </c>
      <c r="H3" s="20">
        <v>9</v>
      </c>
      <c r="I3" s="20">
        <v>10</v>
      </c>
      <c r="J3" s="20">
        <v>11</v>
      </c>
      <c r="S3" s="20">
        <v>7</v>
      </c>
      <c r="T3" s="20">
        <v>8</v>
      </c>
      <c r="U3" s="20">
        <v>9</v>
      </c>
      <c r="V3" s="20">
        <v>10</v>
      </c>
      <c r="W3" s="20">
        <v>11</v>
      </c>
    </row>
    <row r="4" spans="1:38" ht="46.5" customHeight="1" x14ac:dyDescent="0.2">
      <c r="A4" s="124" t="s">
        <v>0</v>
      </c>
      <c r="B4" s="118" t="s">
        <v>231</v>
      </c>
      <c r="C4" s="117" t="s">
        <v>232</v>
      </c>
      <c r="D4" s="119" t="s">
        <v>233</v>
      </c>
      <c r="E4" s="119" t="s">
        <v>234</v>
      </c>
      <c r="F4" s="119" t="s">
        <v>266</v>
      </c>
      <c r="G4" s="119" t="s">
        <v>267</v>
      </c>
      <c r="H4" s="119" t="s">
        <v>268</v>
      </c>
      <c r="I4" s="119" t="s">
        <v>269</v>
      </c>
      <c r="J4" s="119" t="s">
        <v>300</v>
      </c>
      <c r="K4" s="119" t="s">
        <v>237</v>
      </c>
      <c r="L4" s="120" t="s">
        <v>238</v>
      </c>
      <c r="M4" s="119" t="s">
        <v>239</v>
      </c>
      <c r="N4" s="119" t="s">
        <v>240</v>
      </c>
      <c r="O4" s="119" t="s">
        <v>241</v>
      </c>
      <c r="P4" s="120" t="s">
        <v>242</v>
      </c>
      <c r="Q4" s="119" t="s">
        <v>243</v>
      </c>
      <c r="R4" s="121" t="s">
        <v>264</v>
      </c>
      <c r="S4" s="121" t="s">
        <v>261</v>
      </c>
      <c r="T4" s="119" t="s">
        <v>235</v>
      </c>
      <c r="U4" s="119" t="s">
        <v>236</v>
      </c>
      <c r="V4" s="119" t="s">
        <v>269</v>
      </c>
      <c r="W4" s="121" t="s">
        <v>368</v>
      </c>
      <c r="X4" s="119" t="s">
        <v>351</v>
      </c>
      <c r="Y4" s="119" t="s">
        <v>352</v>
      </c>
      <c r="Z4" s="119" t="s">
        <v>264</v>
      </c>
      <c r="AA4" s="121" t="s">
        <v>265</v>
      </c>
      <c r="AB4" s="119" t="s">
        <v>366</v>
      </c>
      <c r="AC4" s="119" t="s">
        <v>237</v>
      </c>
      <c r="AD4" s="120" t="s">
        <v>238</v>
      </c>
      <c r="AE4" s="119" t="s">
        <v>239</v>
      </c>
      <c r="AF4" s="119" t="s">
        <v>260</v>
      </c>
      <c r="AG4" s="101" t="s">
        <v>271</v>
      </c>
      <c r="AH4" s="101" t="s">
        <v>272</v>
      </c>
      <c r="AI4" s="102" t="s">
        <v>242</v>
      </c>
      <c r="AJ4" s="101" t="s">
        <v>243</v>
      </c>
      <c r="AL4" s="42" t="s">
        <v>349</v>
      </c>
    </row>
    <row r="5" spans="1:38" x14ac:dyDescent="0.2">
      <c r="A5" s="97"/>
      <c r="S5" s="20" t="s">
        <v>270</v>
      </c>
      <c r="W5" s="109"/>
      <c r="AA5" s="109"/>
    </row>
    <row r="6" spans="1:38" x14ac:dyDescent="0.2">
      <c r="A6" s="125">
        <v>1</v>
      </c>
      <c r="B6" s="99">
        <v>49.13</v>
      </c>
      <c r="C6" s="99">
        <v>930.6</v>
      </c>
      <c r="D6" s="20">
        <v>27432.240000000002</v>
      </c>
      <c r="E6" s="20">
        <v>18288.13</v>
      </c>
      <c r="F6" s="106">
        <f t="shared" ref="F6:F29" si="0">SUM(D6:E6)</f>
        <v>45720.37</v>
      </c>
      <c r="G6" s="106">
        <f t="shared" ref="G6:G29" si="1">$G$30/$B$30*B6</f>
        <v>2286.02</v>
      </c>
      <c r="H6" s="106">
        <f>G6/12</f>
        <v>190.5</v>
      </c>
      <c r="I6" s="106">
        <f t="shared" ref="I6:I29" si="2">$I$30/$B$30*B6</f>
        <v>2057.42</v>
      </c>
      <c r="J6" s="106">
        <f>SUM(I6/12)</f>
        <v>171.45</v>
      </c>
      <c r="L6" s="20">
        <v>64.81</v>
      </c>
      <c r="M6" s="20">
        <v>26.7</v>
      </c>
      <c r="N6" s="20">
        <v>32.04</v>
      </c>
      <c r="O6" s="20">
        <f>SUM(J6-L6-M6-N6)</f>
        <v>47.9</v>
      </c>
      <c r="P6" s="20">
        <f>SUM(L6:O6)</f>
        <v>171.45</v>
      </c>
      <c r="Q6" s="20">
        <f>J6</f>
        <v>171.45</v>
      </c>
      <c r="R6" s="20">
        <f>SUM(J6*6)</f>
        <v>1028.7</v>
      </c>
      <c r="S6" s="112">
        <f>SUM(F6*1.142)</f>
        <v>52212.66</v>
      </c>
      <c r="T6" s="106">
        <f>SUM(S6*5%)</f>
        <v>2610.63</v>
      </c>
      <c r="U6" s="106">
        <f>T6/12</f>
        <v>217.55</v>
      </c>
      <c r="V6" s="106">
        <f>SUM(S6*4.5%)</f>
        <v>2349.5700000000002</v>
      </c>
      <c r="W6" s="112">
        <f>V6/12</f>
        <v>195.8</v>
      </c>
      <c r="X6" s="106">
        <f>W6-J6</f>
        <v>24.35</v>
      </c>
      <c r="Y6" s="113">
        <f>X6/J6</f>
        <v>0.14000000000000001</v>
      </c>
      <c r="Z6" s="20">
        <f>SUM(R6*6)</f>
        <v>6172.2</v>
      </c>
      <c r="AA6" s="109">
        <f>SUM(W6*6)</f>
        <v>1174.8</v>
      </c>
      <c r="AB6" s="106">
        <f>SUM(AA6-R6)</f>
        <v>146.1</v>
      </c>
      <c r="AD6" s="122">
        <f t="shared" ref="AD6:AD29" si="3">($AC$30/$B$30*B6)/12</f>
        <v>69.364000000000004</v>
      </c>
      <c r="AE6" s="106">
        <f>SUM(F6*0.0075/12)</f>
        <v>28.58</v>
      </c>
      <c r="AF6" s="106">
        <f>SUM(W6-J6)</f>
        <v>24.35</v>
      </c>
      <c r="AG6" s="104">
        <f t="shared" ref="AG6:AG28" si="4">((F7*0.009)/12)</f>
        <v>23.64</v>
      </c>
      <c r="AH6" s="106">
        <f t="shared" ref="AH6:AH28" si="5">SUM(W7-AD7-AE7-AF7-AG6)</f>
        <v>27.04</v>
      </c>
      <c r="AI6" s="106">
        <f t="shared" ref="AI6:AI27" si="6">SUM(AD6:AH6)</f>
        <v>172.97</v>
      </c>
      <c r="AJ6" s="106">
        <f t="shared" ref="AJ6:AJ28" si="7">W7</f>
        <v>134.97999999999999</v>
      </c>
      <c r="AL6" s="105">
        <f t="shared" ref="AL6:AL28" si="8">J7*1.2</f>
        <v>141.84</v>
      </c>
    </row>
    <row r="7" spans="1:38" x14ac:dyDescent="0.2">
      <c r="A7" s="125">
        <v>2</v>
      </c>
      <c r="B7" s="99">
        <v>33.869999999999997</v>
      </c>
      <c r="C7" s="99">
        <v>930.6</v>
      </c>
      <c r="D7" s="20">
        <v>18911.66</v>
      </c>
      <c r="E7" s="20">
        <v>12607.76</v>
      </c>
      <c r="F7" s="106">
        <f t="shared" si="0"/>
        <v>31519.42</v>
      </c>
      <c r="G7" s="106">
        <f t="shared" si="1"/>
        <v>1575.97</v>
      </c>
      <c r="H7" s="106">
        <f t="shared" ref="H7:H29" si="9">G7/12</f>
        <v>131.33000000000001</v>
      </c>
      <c r="I7" s="106">
        <f t="shared" si="2"/>
        <v>1418.37</v>
      </c>
      <c r="J7" s="106">
        <f t="shared" ref="J7:J29" si="10">SUM(I7/12)</f>
        <v>118.2</v>
      </c>
      <c r="L7" s="20">
        <v>44.68</v>
      </c>
      <c r="M7" s="20">
        <v>18.41</v>
      </c>
      <c r="N7" s="20">
        <v>22.09</v>
      </c>
      <c r="O7" s="20">
        <f t="shared" ref="O7:O29" si="11">SUM(J7-L7-M7-N7)</f>
        <v>33.020000000000003</v>
      </c>
      <c r="P7" s="20">
        <f t="shared" ref="P7:P29" si="12">SUM(L7:O7)</f>
        <v>118.2</v>
      </c>
      <c r="Q7" s="20">
        <f t="shared" ref="Q7:Q29" si="13">J7</f>
        <v>118.2</v>
      </c>
      <c r="R7" s="20">
        <f t="shared" ref="R7:R29" si="14">SUM(J7*6)</f>
        <v>709.2</v>
      </c>
      <c r="S7" s="112">
        <f t="shared" ref="S7:S29" si="15">SUM(F7*1.142)</f>
        <v>35995.18</v>
      </c>
      <c r="T7" s="106">
        <f t="shared" ref="T7:T29" si="16">SUM(S7*5%)</f>
        <v>1799.76</v>
      </c>
      <c r="U7" s="106">
        <f t="shared" ref="U7:U29" si="17">T7/12</f>
        <v>149.97999999999999</v>
      </c>
      <c r="V7" s="106">
        <f t="shared" ref="V7:V29" si="18">SUM(S7*4.5%)</f>
        <v>1619.78</v>
      </c>
      <c r="W7" s="112">
        <f t="shared" ref="W7:W29" si="19">V7/12</f>
        <v>134.97999999999999</v>
      </c>
      <c r="X7" s="106">
        <f t="shared" ref="X7:X29" si="20">W7-J7</f>
        <v>16.78</v>
      </c>
      <c r="Y7" s="113">
        <f t="shared" ref="Y7:Y29" si="21">X7/J7</f>
        <v>0.14000000000000001</v>
      </c>
      <c r="Z7" s="20">
        <f t="shared" ref="Z7:Z29" si="22">SUM(R7*6)</f>
        <v>4255.2</v>
      </c>
      <c r="AA7" s="109">
        <f t="shared" ref="AA7:AA29" si="23">SUM(W7*6)</f>
        <v>809.88</v>
      </c>
      <c r="AB7" s="106">
        <f t="shared" ref="AB7:AB29" si="24">SUM(AA7-R7)</f>
        <v>100.68</v>
      </c>
      <c r="AD7" s="122">
        <f t="shared" si="3"/>
        <v>47.819000000000003</v>
      </c>
      <c r="AE7" s="106">
        <f t="shared" ref="AE7:AE29" si="25">SUM(F7*0.0075/12)</f>
        <v>19.7</v>
      </c>
      <c r="AF7" s="106">
        <f t="shared" ref="AF7:AF29" si="26">SUM(W7-J7)</f>
        <v>16.78</v>
      </c>
      <c r="AG7" s="104">
        <f t="shared" si="4"/>
        <v>26.78</v>
      </c>
      <c r="AH7" s="106">
        <f t="shared" si="5"/>
        <v>30.63</v>
      </c>
      <c r="AI7" s="106">
        <f t="shared" si="6"/>
        <v>141.71</v>
      </c>
      <c r="AJ7" s="106">
        <f t="shared" si="7"/>
        <v>152.91999999999999</v>
      </c>
      <c r="AL7" s="105">
        <f t="shared" si="8"/>
        <v>160.68</v>
      </c>
    </row>
    <row r="8" spans="1:38" x14ac:dyDescent="0.2">
      <c r="A8" s="125">
        <v>3</v>
      </c>
      <c r="B8" s="99">
        <v>38.369999999999997</v>
      </c>
      <c r="C8" s="99">
        <v>930.6</v>
      </c>
      <c r="D8" s="20">
        <v>21424.28</v>
      </c>
      <c r="E8" s="20">
        <v>14282.84</v>
      </c>
      <c r="F8" s="106">
        <f t="shared" si="0"/>
        <v>35707.120000000003</v>
      </c>
      <c r="G8" s="106">
        <f t="shared" si="1"/>
        <v>1785.36</v>
      </c>
      <c r="H8" s="106">
        <f t="shared" si="9"/>
        <v>148.78</v>
      </c>
      <c r="I8" s="106">
        <f t="shared" si="2"/>
        <v>1606.82</v>
      </c>
      <c r="J8" s="106">
        <f t="shared" si="10"/>
        <v>133.9</v>
      </c>
      <c r="L8" s="20">
        <v>50.62</v>
      </c>
      <c r="M8" s="20">
        <v>20.85</v>
      </c>
      <c r="N8" s="20">
        <v>25.02</v>
      </c>
      <c r="O8" s="20">
        <f t="shared" si="11"/>
        <v>37.409999999999997</v>
      </c>
      <c r="P8" s="20">
        <f t="shared" si="12"/>
        <v>133.9</v>
      </c>
      <c r="Q8" s="20">
        <f t="shared" si="13"/>
        <v>133.9</v>
      </c>
      <c r="R8" s="20">
        <f t="shared" si="14"/>
        <v>803.4</v>
      </c>
      <c r="S8" s="112">
        <f t="shared" si="15"/>
        <v>40777.53</v>
      </c>
      <c r="T8" s="106">
        <f t="shared" si="16"/>
        <v>2038.88</v>
      </c>
      <c r="U8" s="106">
        <f t="shared" si="17"/>
        <v>169.91</v>
      </c>
      <c r="V8" s="106">
        <f t="shared" si="18"/>
        <v>1834.99</v>
      </c>
      <c r="W8" s="112">
        <f t="shared" si="19"/>
        <v>152.91999999999999</v>
      </c>
      <c r="X8" s="106">
        <f t="shared" si="20"/>
        <v>19.02</v>
      </c>
      <c r="Y8" s="113">
        <f t="shared" si="21"/>
        <v>0.14000000000000001</v>
      </c>
      <c r="Z8" s="20">
        <f t="shared" si="22"/>
        <v>4820.3999999999996</v>
      </c>
      <c r="AA8" s="109">
        <f t="shared" si="23"/>
        <v>917.52</v>
      </c>
      <c r="AB8" s="106">
        <f t="shared" si="24"/>
        <v>114.12</v>
      </c>
      <c r="AD8" s="122">
        <f t="shared" si="3"/>
        <v>54.171999999999997</v>
      </c>
      <c r="AE8" s="106">
        <f t="shared" si="25"/>
        <v>22.32</v>
      </c>
      <c r="AF8" s="106">
        <f t="shared" si="26"/>
        <v>19.02</v>
      </c>
      <c r="AG8" s="104">
        <f t="shared" si="4"/>
        <v>35.81</v>
      </c>
      <c r="AH8" s="106">
        <f t="shared" si="5"/>
        <v>40.97</v>
      </c>
      <c r="AI8" s="106">
        <f t="shared" si="6"/>
        <v>172.29</v>
      </c>
      <c r="AJ8" s="106">
        <f t="shared" si="7"/>
        <v>204.49</v>
      </c>
      <c r="AL8" s="105">
        <f t="shared" si="8"/>
        <v>214.87</v>
      </c>
    </row>
    <row r="9" spans="1:38" x14ac:dyDescent="0.2">
      <c r="A9" s="125">
        <v>4</v>
      </c>
      <c r="B9" s="99">
        <v>51.31</v>
      </c>
      <c r="C9" s="99">
        <v>930.6</v>
      </c>
      <c r="D9" s="20">
        <v>28649.47</v>
      </c>
      <c r="E9" s="20">
        <v>19099.62</v>
      </c>
      <c r="F9" s="106">
        <f t="shared" si="0"/>
        <v>47749.09</v>
      </c>
      <c r="G9" s="106">
        <f t="shared" si="1"/>
        <v>2387.4499999999998</v>
      </c>
      <c r="H9" s="106">
        <f t="shared" si="9"/>
        <v>198.95</v>
      </c>
      <c r="I9" s="106">
        <f t="shared" si="2"/>
        <v>2148.71</v>
      </c>
      <c r="J9" s="106">
        <f t="shared" si="10"/>
        <v>179.06</v>
      </c>
      <c r="L9" s="20">
        <v>67.69</v>
      </c>
      <c r="M9" s="20">
        <v>27.88</v>
      </c>
      <c r="N9" s="20">
        <v>33.46</v>
      </c>
      <c r="O9" s="20">
        <f t="shared" si="11"/>
        <v>50.03</v>
      </c>
      <c r="P9" s="20">
        <f t="shared" si="12"/>
        <v>179.06</v>
      </c>
      <c r="Q9" s="20">
        <f t="shared" si="13"/>
        <v>179.06</v>
      </c>
      <c r="R9" s="20">
        <f t="shared" si="14"/>
        <v>1074.3599999999999</v>
      </c>
      <c r="S9" s="112">
        <f t="shared" si="15"/>
        <v>54529.46</v>
      </c>
      <c r="T9" s="106">
        <f t="shared" si="16"/>
        <v>2726.47</v>
      </c>
      <c r="U9" s="106">
        <f t="shared" si="17"/>
        <v>227.21</v>
      </c>
      <c r="V9" s="106">
        <f t="shared" si="18"/>
        <v>2453.83</v>
      </c>
      <c r="W9" s="112">
        <f t="shared" si="19"/>
        <v>204.49</v>
      </c>
      <c r="X9" s="106">
        <f t="shared" si="20"/>
        <v>25.43</v>
      </c>
      <c r="Y9" s="113">
        <f t="shared" si="21"/>
        <v>0.14000000000000001</v>
      </c>
      <c r="Z9" s="20">
        <f t="shared" si="22"/>
        <v>6446.16</v>
      </c>
      <c r="AA9" s="109">
        <f t="shared" si="23"/>
        <v>1226.94</v>
      </c>
      <c r="AB9" s="106">
        <f t="shared" si="24"/>
        <v>152.58000000000001</v>
      </c>
      <c r="AD9" s="122">
        <f t="shared" si="3"/>
        <v>72.441999999999993</v>
      </c>
      <c r="AE9" s="106">
        <f t="shared" si="25"/>
        <v>29.84</v>
      </c>
      <c r="AF9" s="106">
        <f t="shared" si="26"/>
        <v>25.43</v>
      </c>
      <c r="AG9" s="104">
        <f t="shared" si="4"/>
        <v>46.73</v>
      </c>
      <c r="AH9" s="106">
        <f t="shared" si="5"/>
        <v>53.45</v>
      </c>
      <c r="AI9" s="106">
        <f t="shared" si="6"/>
        <v>227.89</v>
      </c>
      <c r="AJ9" s="106">
        <f t="shared" si="7"/>
        <v>266.86</v>
      </c>
      <c r="AL9" s="105">
        <f t="shared" si="8"/>
        <v>280.39999999999998</v>
      </c>
    </row>
    <row r="10" spans="1:38" x14ac:dyDescent="0.2">
      <c r="A10" s="125">
        <v>5</v>
      </c>
      <c r="B10" s="99">
        <v>66.959999999999994</v>
      </c>
      <c r="C10" s="99">
        <v>930.6</v>
      </c>
      <c r="D10" s="20">
        <v>37387.81</v>
      </c>
      <c r="E10" s="20">
        <v>24925.17</v>
      </c>
      <c r="F10" s="106">
        <f t="shared" si="0"/>
        <v>62312.98</v>
      </c>
      <c r="G10" s="106">
        <f t="shared" si="1"/>
        <v>3115.65</v>
      </c>
      <c r="H10" s="106">
        <f t="shared" si="9"/>
        <v>259.64</v>
      </c>
      <c r="I10" s="106">
        <f t="shared" si="2"/>
        <v>2804.08</v>
      </c>
      <c r="J10" s="106">
        <f t="shared" si="10"/>
        <v>233.67</v>
      </c>
      <c r="L10" s="20">
        <v>88.33</v>
      </c>
      <c r="M10" s="20">
        <v>36.39</v>
      </c>
      <c r="N10" s="20">
        <v>43.67</v>
      </c>
      <c r="O10" s="20">
        <f t="shared" si="11"/>
        <v>65.28</v>
      </c>
      <c r="P10" s="20">
        <f t="shared" si="12"/>
        <v>233.67</v>
      </c>
      <c r="Q10" s="20">
        <f t="shared" si="13"/>
        <v>233.67</v>
      </c>
      <c r="R10" s="20">
        <f t="shared" si="14"/>
        <v>1402.02</v>
      </c>
      <c r="S10" s="112">
        <f t="shared" si="15"/>
        <v>71161.42</v>
      </c>
      <c r="T10" s="106">
        <f t="shared" si="16"/>
        <v>3558.07</v>
      </c>
      <c r="U10" s="106">
        <f t="shared" si="17"/>
        <v>296.51</v>
      </c>
      <c r="V10" s="106">
        <f t="shared" si="18"/>
        <v>3202.26</v>
      </c>
      <c r="W10" s="112">
        <f t="shared" si="19"/>
        <v>266.86</v>
      </c>
      <c r="X10" s="106">
        <f t="shared" si="20"/>
        <v>33.19</v>
      </c>
      <c r="Y10" s="113">
        <f t="shared" si="21"/>
        <v>0.14000000000000001</v>
      </c>
      <c r="Z10" s="20">
        <f t="shared" si="22"/>
        <v>8412.1200000000008</v>
      </c>
      <c r="AA10" s="109">
        <f t="shared" si="23"/>
        <v>1601.16</v>
      </c>
      <c r="AB10" s="106">
        <f t="shared" si="24"/>
        <v>199.14</v>
      </c>
      <c r="AD10" s="122">
        <f t="shared" si="3"/>
        <v>94.537000000000006</v>
      </c>
      <c r="AE10" s="106">
        <f t="shared" si="25"/>
        <v>38.950000000000003</v>
      </c>
      <c r="AF10" s="106">
        <f t="shared" si="26"/>
        <v>33.19</v>
      </c>
      <c r="AG10" s="104">
        <f t="shared" si="4"/>
        <v>28.96</v>
      </c>
      <c r="AH10" s="106">
        <f t="shared" si="5"/>
        <v>33.14</v>
      </c>
      <c r="AI10" s="106">
        <f t="shared" si="6"/>
        <v>228.78</v>
      </c>
      <c r="AJ10" s="106">
        <f t="shared" si="7"/>
        <v>165.39</v>
      </c>
      <c r="AL10" s="105">
        <f t="shared" si="8"/>
        <v>173.8</v>
      </c>
    </row>
    <row r="11" spans="1:38" x14ac:dyDescent="0.2">
      <c r="A11" s="125">
        <v>6</v>
      </c>
      <c r="B11" s="99">
        <v>41.5</v>
      </c>
      <c r="C11" s="99">
        <v>930.6</v>
      </c>
      <c r="D11" s="20">
        <v>23171.95</v>
      </c>
      <c r="E11" s="20">
        <v>15447.95</v>
      </c>
      <c r="F11" s="106">
        <f t="shared" si="0"/>
        <v>38619.9</v>
      </c>
      <c r="G11" s="106">
        <f t="shared" si="1"/>
        <v>1930.99</v>
      </c>
      <c r="H11" s="106">
        <f t="shared" si="9"/>
        <v>160.91999999999999</v>
      </c>
      <c r="I11" s="106">
        <f t="shared" si="2"/>
        <v>1737.9</v>
      </c>
      <c r="J11" s="106">
        <f t="shared" si="10"/>
        <v>144.83000000000001</v>
      </c>
      <c r="L11" s="20">
        <v>54.74</v>
      </c>
      <c r="M11" s="20">
        <v>22.55</v>
      </c>
      <c r="N11" s="20">
        <v>27.06</v>
      </c>
      <c r="O11" s="20">
        <f t="shared" si="11"/>
        <v>40.479999999999997</v>
      </c>
      <c r="P11" s="20">
        <f t="shared" si="12"/>
        <v>144.83000000000001</v>
      </c>
      <c r="Q11" s="20">
        <f t="shared" si="13"/>
        <v>144.83000000000001</v>
      </c>
      <c r="R11" s="20">
        <f t="shared" si="14"/>
        <v>868.98</v>
      </c>
      <c r="S11" s="112">
        <f t="shared" si="15"/>
        <v>44103.93</v>
      </c>
      <c r="T11" s="106">
        <f t="shared" si="16"/>
        <v>2205.1999999999998</v>
      </c>
      <c r="U11" s="106">
        <f t="shared" si="17"/>
        <v>183.77</v>
      </c>
      <c r="V11" s="106">
        <f t="shared" si="18"/>
        <v>1984.68</v>
      </c>
      <c r="W11" s="112">
        <f t="shared" si="19"/>
        <v>165.39</v>
      </c>
      <c r="X11" s="106">
        <f t="shared" si="20"/>
        <v>20.56</v>
      </c>
      <c r="Y11" s="113">
        <f t="shared" si="21"/>
        <v>0.14000000000000001</v>
      </c>
      <c r="Z11" s="20">
        <f t="shared" si="22"/>
        <v>5213.88</v>
      </c>
      <c r="AA11" s="109">
        <f t="shared" si="23"/>
        <v>992.34</v>
      </c>
      <c r="AB11" s="106">
        <f t="shared" si="24"/>
        <v>123.36</v>
      </c>
      <c r="AD11" s="122">
        <f t="shared" si="3"/>
        <v>58.591999999999999</v>
      </c>
      <c r="AE11" s="106">
        <f t="shared" si="25"/>
        <v>24.14</v>
      </c>
      <c r="AF11" s="106">
        <f>SUM(W11-J11)</f>
        <v>20.56</v>
      </c>
      <c r="AG11" s="104">
        <f t="shared" si="4"/>
        <v>35.81</v>
      </c>
      <c r="AH11" s="106">
        <f t="shared" si="5"/>
        <v>40.97</v>
      </c>
      <c r="AI11" s="106">
        <f t="shared" si="6"/>
        <v>180.07</v>
      </c>
      <c r="AJ11" s="106">
        <f t="shared" si="7"/>
        <v>204.49</v>
      </c>
      <c r="AL11" s="105">
        <f t="shared" si="8"/>
        <v>214.87</v>
      </c>
    </row>
    <row r="12" spans="1:38" x14ac:dyDescent="0.2">
      <c r="A12" s="125">
        <v>7</v>
      </c>
      <c r="B12" s="99">
        <v>51.31</v>
      </c>
      <c r="C12" s="99">
        <v>930.6</v>
      </c>
      <c r="D12" s="20">
        <v>28649.47</v>
      </c>
      <c r="E12" s="20">
        <v>19099.62</v>
      </c>
      <c r="F12" s="106">
        <f t="shared" si="0"/>
        <v>47749.09</v>
      </c>
      <c r="G12" s="106">
        <f t="shared" si="1"/>
        <v>2387.4499999999998</v>
      </c>
      <c r="H12" s="106">
        <f t="shared" si="9"/>
        <v>198.95</v>
      </c>
      <c r="I12" s="106">
        <f t="shared" si="2"/>
        <v>2148.71</v>
      </c>
      <c r="J12" s="106">
        <f t="shared" si="10"/>
        <v>179.06</v>
      </c>
      <c r="L12" s="20">
        <v>67.69</v>
      </c>
      <c r="M12" s="20">
        <v>27.88</v>
      </c>
      <c r="N12" s="20">
        <v>33.46</v>
      </c>
      <c r="O12" s="20">
        <f t="shared" si="11"/>
        <v>50.03</v>
      </c>
      <c r="P12" s="20">
        <f t="shared" si="12"/>
        <v>179.06</v>
      </c>
      <c r="Q12" s="20">
        <f t="shared" si="13"/>
        <v>179.06</v>
      </c>
      <c r="R12" s="20">
        <f t="shared" si="14"/>
        <v>1074.3599999999999</v>
      </c>
      <c r="S12" s="112">
        <f t="shared" si="15"/>
        <v>54529.46</v>
      </c>
      <c r="T12" s="106">
        <f t="shared" si="16"/>
        <v>2726.47</v>
      </c>
      <c r="U12" s="106">
        <f t="shared" si="17"/>
        <v>227.21</v>
      </c>
      <c r="V12" s="106">
        <f t="shared" si="18"/>
        <v>2453.83</v>
      </c>
      <c r="W12" s="112">
        <f t="shared" si="19"/>
        <v>204.49</v>
      </c>
      <c r="X12" s="106">
        <f t="shared" si="20"/>
        <v>25.43</v>
      </c>
      <c r="Y12" s="113">
        <f t="shared" si="21"/>
        <v>0.14000000000000001</v>
      </c>
      <c r="Z12" s="20">
        <f t="shared" si="22"/>
        <v>6446.16</v>
      </c>
      <c r="AA12" s="109">
        <f t="shared" si="23"/>
        <v>1226.94</v>
      </c>
      <c r="AB12" s="106">
        <f t="shared" si="24"/>
        <v>152.58000000000001</v>
      </c>
      <c r="AD12" s="122">
        <f t="shared" si="3"/>
        <v>72.441999999999993</v>
      </c>
      <c r="AE12" s="106">
        <f t="shared" si="25"/>
        <v>29.84</v>
      </c>
      <c r="AF12" s="106">
        <f t="shared" si="26"/>
        <v>25.43</v>
      </c>
      <c r="AG12" s="104">
        <f t="shared" si="4"/>
        <v>46.54</v>
      </c>
      <c r="AH12" s="106">
        <f t="shared" si="5"/>
        <v>53.24</v>
      </c>
      <c r="AI12" s="106">
        <f t="shared" si="6"/>
        <v>227.49</v>
      </c>
      <c r="AJ12" s="106">
        <f t="shared" si="7"/>
        <v>265.74</v>
      </c>
      <c r="AL12" s="105">
        <f t="shared" si="8"/>
        <v>279.24</v>
      </c>
    </row>
    <row r="13" spans="1:38" x14ac:dyDescent="0.2">
      <c r="A13" s="125">
        <v>8</v>
      </c>
      <c r="B13" s="99">
        <v>66.680000000000007</v>
      </c>
      <c r="C13" s="99">
        <v>930.6</v>
      </c>
      <c r="D13" s="20">
        <v>37231.46</v>
      </c>
      <c r="E13" s="20">
        <v>24820.94</v>
      </c>
      <c r="F13" s="106">
        <f t="shared" si="0"/>
        <v>62052.4</v>
      </c>
      <c r="G13" s="106">
        <f t="shared" si="1"/>
        <v>3102.62</v>
      </c>
      <c r="H13" s="106">
        <f t="shared" si="9"/>
        <v>258.55</v>
      </c>
      <c r="I13" s="106">
        <f t="shared" si="2"/>
        <v>2792.36</v>
      </c>
      <c r="J13" s="106">
        <f t="shared" si="10"/>
        <v>232.7</v>
      </c>
      <c r="L13" s="20">
        <v>87.96</v>
      </c>
      <c r="M13" s="20">
        <v>36.24</v>
      </c>
      <c r="N13" s="20">
        <v>43.48</v>
      </c>
      <c r="O13" s="20">
        <f t="shared" si="11"/>
        <v>65.02</v>
      </c>
      <c r="P13" s="20">
        <f t="shared" si="12"/>
        <v>232.7</v>
      </c>
      <c r="Q13" s="20">
        <f t="shared" si="13"/>
        <v>232.7</v>
      </c>
      <c r="R13" s="20">
        <f t="shared" si="14"/>
        <v>1396.2</v>
      </c>
      <c r="S13" s="112">
        <f t="shared" si="15"/>
        <v>70863.839999999997</v>
      </c>
      <c r="T13" s="106">
        <f t="shared" si="16"/>
        <v>3543.19</v>
      </c>
      <c r="U13" s="106">
        <f t="shared" si="17"/>
        <v>295.27</v>
      </c>
      <c r="V13" s="106">
        <f t="shared" si="18"/>
        <v>3188.87</v>
      </c>
      <c r="W13" s="112">
        <f t="shared" si="19"/>
        <v>265.74</v>
      </c>
      <c r="X13" s="106">
        <f t="shared" si="20"/>
        <v>33.04</v>
      </c>
      <c r="Y13" s="113">
        <f t="shared" si="21"/>
        <v>0.14000000000000001</v>
      </c>
      <c r="Z13" s="20">
        <f t="shared" si="22"/>
        <v>8377.2000000000007</v>
      </c>
      <c r="AA13" s="109">
        <f t="shared" si="23"/>
        <v>1594.44</v>
      </c>
      <c r="AB13" s="106">
        <f t="shared" si="24"/>
        <v>198.24</v>
      </c>
      <c r="AD13" s="122">
        <f t="shared" si="3"/>
        <v>94.141999999999996</v>
      </c>
      <c r="AE13" s="106">
        <f t="shared" si="25"/>
        <v>38.78</v>
      </c>
      <c r="AF13" s="106">
        <f t="shared" si="26"/>
        <v>33.04</v>
      </c>
      <c r="AG13" s="104">
        <f t="shared" si="4"/>
        <v>28.77</v>
      </c>
      <c r="AH13" s="106">
        <f t="shared" si="5"/>
        <v>32.909999999999997</v>
      </c>
      <c r="AI13" s="106">
        <f t="shared" si="6"/>
        <v>227.64</v>
      </c>
      <c r="AJ13" s="106">
        <f t="shared" si="7"/>
        <v>164.27</v>
      </c>
      <c r="AL13" s="105">
        <f t="shared" si="8"/>
        <v>172.62</v>
      </c>
    </row>
    <row r="14" spans="1:38" x14ac:dyDescent="0.2">
      <c r="A14" s="125">
        <v>9</v>
      </c>
      <c r="B14" s="99">
        <v>41.22</v>
      </c>
      <c r="C14" s="99">
        <v>930.6</v>
      </c>
      <c r="D14" s="20">
        <v>23015.61</v>
      </c>
      <c r="E14" s="20">
        <v>15343.72</v>
      </c>
      <c r="F14" s="106">
        <f t="shared" si="0"/>
        <v>38359.33</v>
      </c>
      <c r="G14" s="106">
        <f t="shared" si="1"/>
        <v>1917.97</v>
      </c>
      <c r="H14" s="106">
        <f t="shared" si="9"/>
        <v>159.83000000000001</v>
      </c>
      <c r="I14" s="106">
        <f t="shared" si="2"/>
        <v>1726.17</v>
      </c>
      <c r="J14" s="106">
        <f t="shared" si="10"/>
        <v>143.85</v>
      </c>
      <c r="L14" s="20">
        <v>54.38</v>
      </c>
      <c r="M14" s="20">
        <v>22.4</v>
      </c>
      <c r="N14" s="20">
        <v>26.88</v>
      </c>
      <c r="O14" s="20">
        <f t="shared" si="11"/>
        <v>40.19</v>
      </c>
      <c r="P14" s="20">
        <f t="shared" si="12"/>
        <v>143.85</v>
      </c>
      <c r="Q14" s="20">
        <f t="shared" si="13"/>
        <v>143.85</v>
      </c>
      <c r="R14" s="20">
        <f t="shared" si="14"/>
        <v>863.1</v>
      </c>
      <c r="S14" s="112">
        <f t="shared" si="15"/>
        <v>43806.35</v>
      </c>
      <c r="T14" s="106">
        <f t="shared" si="16"/>
        <v>2190.3200000000002</v>
      </c>
      <c r="U14" s="106">
        <f t="shared" si="17"/>
        <v>182.53</v>
      </c>
      <c r="V14" s="106">
        <f t="shared" si="18"/>
        <v>1971.29</v>
      </c>
      <c r="W14" s="112">
        <f t="shared" si="19"/>
        <v>164.27</v>
      </c>
      <c r="X14" s="106">
        <f t="shared" si="20"/>
        <v>20.420000000000002</v>
      </c>
      <c r="Y14" s="113">
        <f t="shared" si="21"/>
        <v>0.14000000000000001</v>
      </c>
      <c r="Z14" s="20">
        <f t="shared" si="22"/>
        <v>5178.6000000000004</v>
      </c>
      <c r="AA14" s="109">
        <f t="shared" si="23"/>
        <v>985.62</v>
      </c>
      <c r="AB14" s="106">
        <f t="shared" si="24"/>
        <v>122.52</v>
      </c>
      <c r="AD14" s="122">
        <f t="shared" si="3"/>
        <v>58.195999999999998</v>
      </c>
      <c r="AE14" s="106">
        <f t="shared" si="25"/>
        <v>23.97</v>
      </c>
      <c r="AF14" s="106">
        <f t="shared" si="26"/>
        <v>20.420000000000002</v>
      </c>
      <c r="AG14" s="104">
        <f t="shared" si="4"/>
        <v>35.81</v>
      </c>
      <c r="AH14" s="106">
        <f t="shared" si="5"/>
        <v>40.97</v>
      </c>
      <c r="AI14" s="106">
        <f t="shared" si="6"/>
        <v>179.37</v>
      </c>
      <c r="AJ14" s="106">
        <f t="shared" si="7"/>
        <v>204.49</v>
      </c>
      <c r="AL14" s="105">
        <f t="shared" si="8"/>
        <v>214.87</v>
      </c>
    </row>
    <row r="15" spans="1:38" x14ac:dyDescent="0.2">
      <c r="A15" s="125">
        <v>10</v>
      </c>
      <c r="B15" s="99">
        <v>51.31</v>
      </c>
      <c r="C15" s="99">
        <v>930.6</v>
      </c>
      <c r="D15" s="20">
        <v>28649.47</v>
      </c>
      <c r="E15" s="20">
        <v>19099.62</v>
      </c>
      <c r="F15" s="106">
        <f t="shared" si="0"/>
        <v>47749.09</v>
      </c>
      <c r="G15" s="106">
        <f t="shared" si="1"/>
        <v>2387.4499999999998</v>
      </c>
      <c r="H15" s="106">
        <f t="shared" si="9"/>
        <v>198.95</v>
      </c>
      <c r="I15" s="106">
        <f t="shared" si="2"/>
        <v>2148.71</v>
      </c>
      <c r="J15" s="106">
        <f t="shared" si="10"/>
        <v>179.06</v>
      </c>
      <c r="L15" s="20">
        <v>67.69</v>
      </c>
      <c r="M15" s="20">
        <v>27.88</v>
      </c>
      <c r="N15" s="20">
        <v>33.46</v>
      </c>
      <c r="O15" s="20">
        <f t="shared" si="11"/>
        <v>50.03</v>
      </c>
      <c r="P15" s="20">
        <f t="shared" si="12"/>
        <v>179.06</v>
      </c>
      <c r="Q15" s="20">
        <f t="shared" si="13"/>
        <v>179.06</v>
      </c>
      <c r="R15" s="20">
        <f t="shared" si="14"/>
        <v>1074.3599999999999</v>
      </c>
      <c r="S15" s="112">
        <f t="shared" si="15"/>
        <v>54529.46</v>
      </c>
      <c r="T15" s="106">
        <f t="shared" si="16"/>
        <v>2726.47</v>
      </c>
      <c r="U15" s="106">
        <f t="shared" si="17"/>
        <v>227.21</v>
      </c>
      <c r="V15" s="106">
        <f t="shared" si="18"/>
        <v>2453.83</v>
      </c>
      <c r="W15" s="112">
        <f t="shared" si="19"/>
        <v>204.49</v>
      </c>
      <c r="X15" s="106">
        <f t="shared" si="20"/>
        <v>25.43</v>
      </c>
      <c r="Y15" s="113">
        <f t="shared" si="21"/>
        <v>0.14000000000000001</v>
      </c>
      <c r="Z15" s="20">
        <f t="shared" si="22"/>
        <v>6446.16</v>
      </c>
      <c r="AA15" s="109">
        <f t="shared" si="23"/>
        <v>1226.94</v>
      </c>
      <c r="AB15" s="106">
        <f t="shared" si="24"/>
        <v>152.58000000000001</v>
      </c>
      <c r="AD15" s="122">
        <f t="shared" si="3"/>
        <v>72.441999999999993</v>
      </c>
      <c r="AE15" s="106">
        <f t="shared" si="25"/>
        <v>29.84</v>
      </c>
      <c r="AF15" s="106">
        <f t="shared" si="26"/>
        <v>25.43</v>
      </c>
      <c r="AG15" s="104">
        <f t="shared" si="4"/>
        <v>46.54</v>
      </c>
      <c r="AH15" s="106">
        <f t="shared" si="5"/>
        <v>53.24</v>
      </c>
      <c r="AI15" s="106">
        <f t="shared" si="6"/>
        <v>227.49</v>
      </c>
      <c r="AJ15" s="106">
        <f t="shared" si="7"/>
        <v>265.74</v>
      </c>
      <c r="AL15" s="105">
        <f t="shared" si="8"/>
        <v>279.24</v>
      </c>
    </row>
    <row r="16" spans="1:38" x14ac:dyDescent="0.2">
      <c r="A16" s="125">
        <v>11</v>
      </c>
      <c r="B16" s="99">
        <v>66.680000000000007</v>
      </c>
      <c r="C16" s="99">
        <v>930.6</v>
      </c>
      <c r="D16" s="20">
        <v>37231.46</v>
      </c>
      <c r="E16" s="20">
        <v>24820.94</v>
      </c>
      <c r="F16" s="106">
        <f t="shared" si="0"/>
        <v>62052.4</v>
      </c>
      <c r="G16" s="106">
        <f t="shared" si="1"/>
        <v>3102.62</v>
      </c>
      <c r="H16" s="106">
        <f t="shared" si="9"/>
        <v>258.55</v>
      </c>
      <c r="I16" s="106">
        <f t="shared" si="2"/>
        <v>2792.36</v>
      </c>
      <c r="J16" s="106">
        <f t="shared" si="10"/>
        <v>232.7</v>
      </c>
      <c r="L16" s="20">
        <v>87.96</v>
      </c>
      <c r="M16" s="20">
        <v>36.24</v>
      </c>
      <c r="N16" s="20">
        <v>43.48</v>
      </c>
      <c r="O16" s="20">
        <f t="shared" si="11"/>
        <v>65.02</v>
      </c>
      <c r="P16" s="20">
        <f t="shared" si="12"/>
        <v>232.7</v>
      </c>
      <c r="Q16" s="20">
        <f t="shared" si="13"/>
        <v>232.7</v>
      </c>
      <c r="R16" s="20">
        <f t="shared" si="14"/>
        <v>1396.2</v>
      </c>
      <c r="S16" s="112">
        <f t="shared" si="15"/>
        <v>70863.839999999997</v>
      </c>
      <c r="T16" s="106">
        <f t="shared" si="16"/>
        <v>3543.19</v>
      </c>
      <c r="U16" s="106">
        <f t="shared" si="17"/>
        <v>295.27</v>
      </c>
      <c r="V16" s="106">
        <f t="shared" si="18"/>
        <v>3188.87</v>
      </c>
      <c r="W16" s="112">
        <f t="shared" si="19"/>
        <v>265.74</v>
      </c>
      <c r="X16" s="106">
        <f t="shared" si="20"/>
        <v>33.04</v>
      </c>
      <c r="Y16" s="113">
        <f t="shared" si="21"/>
        <v>0.14000000000000001</v>
      </c>
      <c r="Z16" s="20">
        <f t="shared" si="22"/>
        <v>8377.2000000000007</v>
      </c>
      <c r="AA16" s="109">
        <f t="shared" si="23"/>
        <v>1594.44</v>
      </c>
      <c r="AB16" s="106">
        <f t="shared" si="24"/>
        <v>198.24</v>
      </c>
      <c r="AD16" s="122">
        <f t="shared" si="3"/>
        <v>94.141999999999996</v>
      </c>
      <c r="AE16" s="106">
        <f t="shared" si="25"/>
        <v>38.78</v>
      </c>
      <c r="AF16" s="106">
        <f t="shared" si="26"/>
        <v>33.04</v>
      </c>
      <c r="AG16" s="104">
        <f t="shared" si="4"/>
        <v>28.77</v>
      </c>
      <c r="AH16" s="106">
        <f t="shared" si="5"/>
        <v>32.909999999999997</v>
      </c>
      <c r="AI16" s="106">
        <f t="shared" si="6"/>
        <v>227.64</v>
      </c>
      <c r="AJ16" s="106">
        <f t="shared" si="7"/>
        <v>164.27</v>
      </c>
      <c r="AL16" s="105">
        <f t="shared" si="8"/>
        <v>172.62</v>
      </c>
    </row>
    <row r="17" spans="1:38" x14ac:dyDescent="0.2">
      <c r="A17" s="125">
        <v>12</v>
      </c>
      <c r="B17" s="99">
        <v>41.22</v>
      </c>
      <c r="C17" s="99">
        <v>930.6</v>
      </c>
      <c r="D17" s="20">
        <v>23015.61</v>
      </c>
      <c r="E17" s="20">
        <v>15343.72</v>
      </c>
      <c r="F17" s="106">
        <f t="shared" si="0"/>
        <v>38359.33</v>
      </c>
      <c r="G17" s="106">
        <f t="shared" si="1"/>
        <v>1917.97</v>
      </c>
      <c r="H17" s="106">
        <f t="shared" si="9"/>
        <v>159.83000000000001</v>
      </c>
      <c r="I17" s="106">
        <f t="shared" si="2"/>
        <v>1726.17</v>
      </c>
      <c r="J17" s="106">
        <f t="shared" si="10"/>
        <v>143.85</v>
      </c>
      <c r="L17" s="20">
        <v>54.38</v>
      </c>
      <c r="M17" s="20">
        <v>22.4</v>
      </c>
      <c r="N17" s="20">
        <v>26.88</v>
      </c>
      <c r="O17" s="20">
        <f t="shared" si="11"/>
        <v>40.19</v>
      </c>
      <c r="P17" s="20">
        <f t="shared" si="12"/>
        <v>143.85</v>
      </c>
      <c r="Q17" s="20">
        <f t="shared" si="13"/>
        <v>143.85</v>
      </c>
      <c r="R17" s="20">
        <f t="shared" si="14"/>
        <v>863.1</v>
      </c>
      <c r="S17" s="112">
        <f t="shared" si="15"/>
        <v>43806.35</v>
      </c>
      <c r="T17" s="106">
        <f t="shared" si="16"/>
        <v>2190.3200000000002</v>
      </c>
      <c r="U17" s="106">
        <f t="shared" si="17"/>
        <v>182.53</v>
      </c>
      <c r="V17" s="106">
        <f t="shared" si="18"/>
        <v>1971.29</v>
      </c>
      <c r="W17" s="112">
        <f t="shared" si="19"/>
        <v>164.27</v>
      </c>
      <c r="X17" s="106">
        <f t="shared" si="20"/>
        <v>20.420000000000002</v>
      </c>
      <c r="Y17" s="113">
        <f t="shared" si="21"/>
        <v>0.14000000000000001</v>
      </c>
      <c r="Z17" s="20">
        <f t="shared" si="22"/>
        <v>5178.6000000000004</v>
      </c>
      <c r="AA17" s="109">
        <f t="shared" si="23"/>
        <v>985.62</v>
      </c>
      <c r="AB17" s="106">
        <f t="shared" si="24"/>
        <v>122.52</v>
      </c>
      <c r="AD17" s="122">
        <f t="shared" si="3"/>
        <v>58.195999999999998</v>
      </c>
      <c r="AE17" s="106">
        <f t="shared" si="25"/>
        <v>23.97</v>
      </c>
      <c r="AF17" s="106">
        <f t="shared" si="26"/>
        <v>20.420000000000002</v>
      </c>
      <c r="AG17" s="104">
        <f t="shared" si="4"/>
        <v>34.29</v>
      </c>
      <c r="AH17" s="106">
        <f t="shared" si="5"/>
        <v>39.22</v>
      </c>
      <c r="AI17" s="106">
        <f t="shared" si="6"/>
        <v>176.1</v>
      </c>
      <c r="AJ17" s="106">
        <f t="shared" si="7"/>
        <v>195.8</v>
      </c>
      <c r="AL17" s="105">
        <f t="shared" si="8"/>
        <v>205.74</v>
      </c>
    </row>
    <row r="18" spans="1:38" x14ac:dyDescent="0.2">
      <c r="A18" s="125">
        <v>1</v>
      </c>
      <c r="B18" s="99">
        <v>49.13</v>
      </c>
      <c r="C18" s="99">
        <v>930.6</v>
      </c>
      <c r="D18" s="20">
        <v>27432.240000000002</v>
      </c>
      <c r="E18" s="20">
        <v>18288.13</v>
      </c>
      <c r="F18" s="106">
        <f t="shared" si="0"/>
        <v>45720.37</v>
      </c>
      <c r="G18" s="106">
        <f t="shared" si="1"/>
        <v>2286.02</v>
      </c>
      <c r="H18" s="106">
        <f t="shared" si="9"/>
        <v>190.5</v>
      </c>
      <c r="I18" s="106">
        <f t="shared" si="2"/>
        <v>2057.42</v>
      </c>
      <c r="J18" s="106">
        <f t="shared" si="10"/>
        <v>171.45</v>
      </c>
      <c r="L18" s="20">
        <v>64.81</v>
      </c>
      <c r="M18" s="20">
        <v>26.7</v>
      </c>
      <c r="N18" s="20">
        <v>32.04</v>
      </c>
      <c r="O18" s="20">
        <f t="shared" si="11"/>
        <v>47.9</v>
      </c>
      <c r="P18" s="20">
        <f t="shared" si="12"/>
        <v>171.45</v>
      </c>
      <c r="Q18" s="20">
        <f t="shared" si="13"/>
        <v>171.45</v>
      </c>
      <c r="R18" s="20">
        <f t="shared" si="14"/>
        <v>1028.7</v>
      </c>
      <c r="S18" s="112">
        <f t="shared" si="15"/>
        <v>52212.66</v>
      </c>
      <c r="T18" s="106">
        <f t="shared" si="16"/>
        <v>2610.63</v>
      </c>
      <c r="U18" s="106">
        <f t="shared" si="17"/>
        <v>217.55</v>
      </c>
      <c r="V18" s="106">
        <f t="shared" si="18"/>
        <v>2349.5700000000002</v>
      </c>
      <c r="W18" s="112">
        <f t="shared" si="19"/>
        <v>195.8</v>
      </c>
      <c r="X18" s="106">
        <f t="shared" si="20"/>
        <v>24.35</v>
      </c>
      <c r="Y18" s="113">
        <f t="shared" si="21"/>
        <v>0.14000000000000001</v>
      </c>
      <c r="Z18" s="20">
        <f t="shared" si="22"/>
        <v>6172.2</v>
      </c>
      <c r="AA18" s="109">
        <f t="shared" si="23"/>
        <v>1174.8</v>
      </c>
      <c r="AB18" s="106">
        <f t="shared" si="24"/>
        <v>146.1</v>
      </c>
      <c r="AD18" s="122">
        <f t="shared" si="3"/>
        <v>69.364000000000004</v>
      </c>
      <c r="AE18" s="106">
        <f t="shared" si="25"/>
        <v>28.58</v>
      </c>
      <c r="AF18" s="106">
        <f t="shared" si="26"/>
        <v>24.35</v>
      </c>
      <c r="AG18" s="104">
        <f t="shared" si="4"/>
        <v>23.64</v>
      </c>
      <c r="AH18" s="106">
        <f t="shared" si="5"/>
        <v>27.04</v>
      </c>
      <c r="AI18" s="106">
        <f t="shared" si="6"/>
        <v>172.97</v>
      </c>
      <c r="AJ18" s="106">
        <f t="shared" si="7"/>
        <v>134.97999999999999</v>
      </c>
      <c r="AL18" s="105">
        <f t="shared" si="8"/>
        <v>141.84</v>
      </c>
    </row>
    <row r="19" spans="1:38" x14ac:dyDescent="0.2">
      <c r="A19" s="125">
        <v>2</v>
      </c>
      <c r="B19" s="99">
        <v>33.869999999999997</v>
      </c>
      <c r="C19" s="99">
        <v>930.6</v>
      </c>
      <c r="D19" s="20">
        <v>18911.66</v>
      </c>
      <c r="E19" s="20">
        <v>12607.76</v>
      </c>
      <c r="F19" s="106">
        <f t="shared" si="0"/>
        <v>31519.42</v>
      </c>
      <c r="G19" s="106">
        <f t="shared" si="1"/>
        <v>1575.97</v>
      </c>
      <c r="H19" s="106">
        <f t="shared" si="9"/>
        <v>131.33000000000001</v>
      </c>
      <c r="I19" s="106">
        <f t="shared" si="2"/>
        <v>1418.37</v>
      </c>
      <c r="J19" s="106">
        <f t="shared" si="10"/>
        <v>118.2</v>
      </c>
      <c r="L19" s="20">
        <v>44.68</v>
      </c>
      <c r="M19" s="20">
        <v>18.41</v>
      </c>
      <c r="N19" s="20">
        <v>22.09</v>
      </c>
      <c r="O19" s="20">
        <f t="shared" si="11"/>
        <v>33.020000000000003</v>
      </c>
      <c r="P19" s="20">
        <f t="shared" si="12"/>
        <v>118.2</v>
      </c>
      <c r="Q19" s="20">
        <f t="shared" si="13"/>
        <v>118.2</v>
      </c>
      <c r="R19" s="20">
        <f t="shared" si="14"/>
        <v>709.2</v>
      </c>
      <c r="S19" s="112">
        <f t="shared" si="15"/>
        <v>35995.18</v>
      </c>
      <c r="T19" s="106">
        <f t="shared" si="16"/>
        <v>1799.76</v>
      </c>
      <c r="U19" s="106">
        <f t="shared" si="17"/>
        <v>149.97999999999999</v>
      </c>
      <c r="V19" s="106">
        <f t="shared" si="18"/>
        <v>1619.78</v>
      </c>
      <c r="W19" s="112">
        <f t="shared" si="19"/>
        <v>134.97999999999999</v>
      </c>
      <c r="X19" s="106">
        <f t="shared" si="20"/>
        <v>16.78</v>
      </c>
      <c r="Y19" s="113">
        <f t="shared" si="21"/>
        <v>0.14000000000000001</v>
      </c>
      <c r="Z19" s="20">
        <f t="shared" si="22"/>
        <v>4255.2</v>
      </c>
      <c r="AA19" s="109">
        <f t="shared" si="23"/>
        <v>809.88</v>
      </c>
      <c r="AB19" s="106">
        <f t="shared" si="24"/>
        <v>100.68</v>
      </c>
      <c r="AD19" s="122">
        <f t="shared" si="3"/>
        <v>47.819000000000003</v>
      </c>
      <c r="AE19" s="106">
        <f t="shared" si="25"/>
        <v>19.7</v>
      </c>
      <c r="AF19" s="106">
        <f t="shared" si="26"/>
        <v>16.78</v>
      </c>
      <c r="AG19" s="104">
        <f t="shared" si="4"/>
        <v>26.78</v>
      </c>
      <c r="AH19" s="106">
        <f t="shared" si="5"/>
        <v>30.63</v>
      </c>
      <c r="AI19" s="106">
        <f t="shared" si="6"/>
        <v>141.71</v>
      </c>
      <c r="AJ19" s="106">
        <f t="shared" si="7"/>
        <v>152.91999999999999</v>
      </c>
      <c r="AL19" s="105">
        <f t="shared" si="8"/>
        <v>160.68</v>
      </c>
    </row>
    <row r="20" spans="1:38" x14ac:dyDescent="0.2">
      <c r="A20" s="125">
        <v>3</v>
      </c>
      <c r="B20" s="99">
        <v>38.369999999999997</v>
      </c>
      <c r="C20" s="99">
        <v>930.6</v>
      </c>
      <c r="D20" s="20">
        <v>21424.28</v>
      </c>
      <c r="E20" s="20">
        <v>14282.84</v>
      </c>
      <c r="F20" s="106">
        <f t="shared" si="0"/>
        <v>35707.120000000003</v>
      </c>
      <c r="G20" s="106">
        <f t="shared" si="1"/>
        <v>1785.36</v>
      </c>
      <c r="H20" s="106">
        <f t="shared" si="9"/>
        <v>148.78</v>
      </c>
      <c r="I20" s="106">
        <f t="shared" si="2"/>
        <v>1606.82</v>
      </c>
      <c r="J20" s="106">
        <f t="shared" si="10"/>
        <v>133.9</v>
      </c>
      <c r="L20" s="20">
        <v>50.62</v>
      </c>
      <c r="M20" s="20">
        <v>20.85</v>
      </c>
      <c r="N20" s="20">
        <v>25.02</v>
      </c>
      <c r="O20" s="20">
        <f t="shared" si="11"/>
        <v>37.409999999999997</v>
      </c>
      <c r="P20" s="20">
        <f t="shared" si="12"/>
        <v>133.9</v>
      </c>
      <c r="Q20" s="20">
        <f t="shared" si="13"/>
        <v>133.9</v>
      </c>
      <c r="R20" s="20">
        <f t="shared" si="14"/>
        <v>803.4</v>
      </c>
      <c r="S20" s="112">
        <f t="shared" si="15"/>
        <v>40777.53</v>
      </c>
      <c r="T20" s="106">
        <f t="shared" si="16"/>
        <v>2038.88</v>
      </c>
      <c r="U20" s="106">
        <f t="shared" si="17"/>
        <v>169.91</v>
      </c>
      <c r="V20" s="106">
        <f t="shared" si="18"/>
        <v>1834.99</v>
      </c>
      <c r="W20" s="112">
        <f t="shared" si="19"/>
        <v>152.91999999999999</v>
      </c>
      <c r="X20" s="106">
        <f t="shared" si="20"/>
        <v>19.02</v>
      </c>
      <c r="Y20" s="113">
        <f t="shared" si="21"/>
        <v>0.14000000000000001</v>
      </c>
      <c r="Z20" s="20">
        <f t="shared" si="22"/>
        <v>4820.3999999999996</v>
      </c>
      <c r="AA20" s="109">
        <f t="shared" si="23"/>
        <v>917.52</v>
      </c>
      <c r="AB20" s="106">
        <f t="shared" si="24"/>
        <v>114.12</v>
      </c>
      <c r="AD20" s="122">
        <f t="shared" si="3"/>
        <v>54.171999999999997</v>
      </c>
      <c r="AE20" s="106">
        <f t="shared" si="25"/>
        <v>22.32</v>
      </c>
      <c r="AF20" s="106">
        <f t="shared" si="26"/>
        <v>19.02</v>
      </c>
      <c r="AG20" s="104">
        <f t="shared" si="4"/>
        <v>35.81</v>
      </c>
      <c r="AH20" s="106">
        <f t="shared" si="5"/>
        <v>40.97</v>
      </c>
      <c r="AI20" s="106">
        <f t="shared" si="6"/>
        <v>172.29</v>
      </c>
      <c r="AJ20" s="106">
        <f t="shared" si="7"/>
        <v>204.49</v>
      </c>
      <c r="AL20" s="105">
        <f t="shared" si="8"/>
        <v>214.87</v>
      </c>
    </row>
    <row r="21" spans="1:38" x14ac:dyDescent="0.2">
      <c r="A21" s="125">
        <v>4</v>
      </c>
      <c r="B21" s="99">
        <v>51.31</v>
      </c>
      <c r="C21" s="99">
        <v>930.6</v>
      </c>
      <c r="D21" s="20">
        <v>28649.47</v>
      </c>
      <c r="E21" s="20">
        <v>19099.62</v>
      </c>
      <c r="F21" s="106">
        <f t="shared" si="0"/>
        <v>47749.09</v>
      </c>
      <c r="G21" s="106">
        <f t="shared" si="1"/>
        <v>2387.4499999999998</v>
      </c>
      <c r="H21" s="106">
        <f t="shared" si="9"/>
        <v>198.95</v>
      </c>
      <c r="I21" s="106">
        <f t="shared" si="2"/>
        <v>2148.71</v>
      </c>
      <c r="J21" s="106">
        <f t="shared" si="10"/>
        <v>179.06</v>
      </c>
      <c r="L21" s="20">
        <v>67.69</v>
      </c>
      <c r="M21" s="20">
        <v>27.88</v>
      </c>
      <c r="N21" s="20">
        <v>33.46</v>
      </c>
      <c r="O21" s="20">
        <f t="shared" si="11"/>
        <v>50.03</v>
      </c>
      <c r="P21" s="20">
        <f t="shared" si="12"/>
        <v>179.06</v>
      </c>
      <c r="Q21" s="20">
        <f t="shared" si="13"/>
        <v>179.06</v>
      </c>
      <c r="R21" s="20">
        <f t="shared" si="14"/>
        <v>1074.3599999999999</v>
      </c>
      <c r="S21" s="112">
        <f t="shared" si="15"/>
        <v>54529.46</v>
      </c>
      <c r="T21" s="106">
        <f t="shared" si="16"/>
        <v>2726.47</v>
      </c>
      <c r="U21" s="106">
        <f t="shared" si="17"/>
        <v>227.21</v>
      </c>
      <c r="V21" s="106">
        <f t="shared" si="18"/>
        <v>2453.83</v>
      </c>
      <c r="W21" s="112">
        <f t="shared" si="19"/>
        <v>204.49</v>
      </c>
      <c r="X21" s="106">
        <f t="shared" si="20"/>
        <v>25.43</v>
      </c>
      <c r="Y21" s="113">
        <f t="shared" si="21"/>
        <v>0.14000000000000001</v>
      </c>
      <c r="Z21" s="20">
        <f t="shared" si="22"/>
        <v>6446.16</v>
      </c>
      <c r="AA21" s="109">
        <f t="shared" si="23"/>
        <v>1226.94</v>
      </c>
      <c r="AB21" s="106">
        <f t="shared" si="24"/>
        <v>152.58000000000001</v>
      </c>
      <c r="AD21" s="122">
        <f t="shared" si="3"/>
        <v>72.441999999999993</v>
      </c>
      <c r="AE21" s="106">
        <f t="shared" si="25"/>
        <v>29.84</v>
      </c>
      <c r="AF21" s="106">
        <f t="shared" si="26"/>
        <v>25.43</v>
      </c>
      <c r="AG21" s="104">
        <f t="shared" si="4"/>
        <v>46.73</v>
      </c>
      <c r="AH21" s="106">
        <f t="shared" si="5"/>
        <v>53.45</v>
      </c>
      <c r="AI21" s="106">
        <f t="shared" si="6"/>
        <v>227.89</v>
      </c>
      <c r="AJ21" s="106">
        <f t="shared" si="7"/>
        <v>266.86</v>
      </c>
      <c r="AL21" s="105">
        <f t="shared" si="8"/>
        <v>280.39999999999998</v>
      </c>
    </row>
    <row r="22" spans="1:38" x14ac:dyDescent="0.2">
      <c r="A22" s="125">
        <v>5</v>
      </c>
      <c r="B22" s="99">
        <v>66.959999999999994</v>
      </c>
      <c r="C22" s="99">
        <v>930.6</v>
      </c>
      <c r="D22" s="20">
        <v>37387.81</v>
      </c>
      <c r="E22" s="20">
        <v>24925.17</v>
      </c>
      <c r="F22" s="106">
        <f t="shared" si="0"/>
        <v>62312.98</v>
      </c>
      <c r="G22" s="106">
        <f t="shared" si="1"/>
        <v>3115.65</v>
      </c>
      <c r="H22" s="106">
        <f t="shared" si="9"/>
        <v>259.64</v>
      </c>
      <c r="I22" s="106">
        <f t="shared" si="2"/>
        <v>2804.08</v>
      </c>
      <c r="J22" s="106">
        <f t="shared" si="10"/>
        <v>233.67</v>
      </c>
      <c r="L22" s="20">
        <v>88.33</v>
      </c>
      <c r="M22" s="20">
        <v>36.39</v>
      </c>
      <c r="N22" s="20">
        <v>43.67</v>
      </c>
      <c r="O22" s="20">
        <f t="shared" si="11"/>
        <v>65.28</v>
      </c>
      <c r="P22" s="20">
        <f t="shared" si="12"/>
        <v>233.67</v>
      </c>
      <c r="Q22" s="20">
        <f t="shared" si="13"/>
        <v>233.67</v>
      </c>
      <c r="R22" s="20">
        <f t="shared" si="14"/>
        <v>1402.02</v>
      </c>
      <c r="S22" s="112">
        <f t="shared" si="15"/>
        <v>71161.42</v>
      </c>
      <c r="T22" s="106">
        <f t="shared" si="16"/>
        <v>3558.07</v>
      </c>
      <c r="U22" s="106">
        <f t="shared" si="17"/>
        <v>296.51</v>
      </c>
      <c r="V22" s="106">
        <f t="shared" si="18"/>
        <v>3202.26</v>
      </c>
      <c r="W22" s="112">
        <f t="shared" si="19"/>
        <v>266.86</v>
      </c>
      <c r="X22" s="106">
        <f t="shared" si="20"/>
        <v>33.19</v>
      </c>
      <c r="Y22" s="113">
        <f t="shared" si="21"/>
        <v>0.14000000000000001</v>
      </c>
      <c r="Z22" s="20">
        <f t="shared" si="22"/>
        <v>8412.1200000000008</v>
      </c>
      <c r="AA22" s="109">
        <f t="shared" si="23"/>
        <v>1601.16</v>
      </c>
      <c r="AB22" s="106">
        <f t="shared" si="24"/>
        <v>199.14</v>
      </c>
      <c r="AD22" s="122">
        <f t="shared" si="3"/>
        <v>94.537000000000006</v>
      </c>
      <c r="AE22" s="106">
        <f t="shared" si="25"/>
        <v>38.950000000000003</v>
      </c>
      <c r="AF22" s="106">
        <f t="shared" si="26"/>
        <v>33.19</v>
      </c>
      <c r="AG22" s="104">
        <f t="shared" si="4"/>
        <v>28.96</v>
      </c>
      <c r="AH22" s="106">
        <f t="shared" si="5"/>
        <v>33.14</v>
      </c>
      <c r="AI22" s="106">
        <f t="shared" si="6"/>
        <v>228.78</v>
      </c>
      <c r="AJ22" s="106">
        <f t="shared" si="7"/>
        <v>165.39</v>
      </c>
      <c r="AL22" s="105">
        <f t="shared" si="8"/>
        <v>173.8</v>
      </c>
    </row>
    <row r="23" spans="1:38" x14ac:dyDescent="0.2">
      <c r="A23" s="125">
        <v>6</v>
      </c>
      <c r="B23" s="99">
        <v>41.5</v>
      </c>
      <c r="C23" s="99">
        <v>930.6</v>
      </c>
      <c r="D23" s="20">
        <v>23171.95</v>
      </c>
      <c r="E23" s="20">
        <v>15447.95</v>
      </c>
      <c r="F23" s="106">
        <f t="shared" si="0"/>
        <v>38619.9</v>
      </c>
      <c r="G23" s="106">
        <f t="shared" si="1"/>
        <v>1930.99</v>
      </c>
      <c r="H23" s="106">
        <f t="shared" si="9"/>
        <v>160.91999999999999</v>
      </c>
      <c r="I23" s="106">
        <f t="shared" si="2"/>
        <v>1737.9</v>
      </c>
      <c r="J23" s="106">
        <f t="shared" si="10"/>
        <v>144.83000000000001</v>
      </c>
      <c r="L23" s="20">
        <v>54.74</v>
      </c>
      <c r="M23" s="20">
        <v>22.55</v>
      </c>
      <c r="N23" s="20">
        <v>27.06</v>
      </c>
      <c r="O23" s="20">
        <f t="shared" si="11"/>
        <v>40.479999999999997</v>
      </c>
      <c r="P23" s="20">
        <f t="shared" si="12"/>
        <v>144.83000000000001</v>
      </c>
      <c r="Q23" s="20">
        <f t="shared" si="13"/>
        <v>144.83000000000001</v>
      </c>
      <c r="R23" s="20">
        <f t="shared" si="14"/>
        <v>868.98</v>
      </c>
      <c r="S23" s="112">
        <f t="shared" si="15"/>
        <v>44103.93</v>
      </c>
      <c r="T23" s="106">
        <f t="shared" si="16"/>
        <v>2205.1999999999998</v>
      </c>
      <c r="U23" s="106">
        <f t="shared" si="17"/>
        <v>183.77</v>
      </c>
      <c r="V23" s="106">
        <f t="shared" si="18"/>
        <v>1984.68</v>
      </c>
      <c r="W23" s="112">
        <f t="shared" si="19"/>
        <v>165.39</v>
      </c>
      <c r="X23" s="106">
        <f t="shared" si="20"/>
        <v>20.56</v>
      </c>
      <c r="Y23" s="113">
        <f t="shared" si="21"/>
        <v>0.14000000000000001</v>
      </c>
      <c r="Z23" s="20">
        <f t="shared" si="22"/>
        <v>5213.88</v>
      </c>
      <c r="AA23" s="109">
        <f t="shared" si="23"/>
        <v>992.34</v>
      </c>
      <c r="AB23" s="106">
        <f t="shared" si="24"/>
        <v>123.36</v>
      </c>
      <c r="AD23" s="122">
        <f t="shared" si="3"/>
        <v>58.591999999999999</v>
      </c>
      <c r="AE23" s="106">
        <f t="shared" si="25"/>
        <v>24.14</v>
      </c>
      <c r="AF23" s="106">
        <f t="shared" si="26"/>
        <v>20.56</v>
      </c>
      <c r="AG23" s="104">
        <f t="shared" si="4"/>
        <v>35.81</v>
      </c>
      <c r="AH23" s="106">
        <f t="shared" si="5"/>
        <v>40.97</v>
      </c>
      <c r="AI23" s="106">
        <f t="shared" si="6"/>
        <v>180.07</v>
      </c>
      <c r="AJ23" s="106">
        <f t="shared" si="7"/>
        <v>204.49</v>
      </c>
      <c r="AL23" s="105">
        <f t="shared" si="8"/>
        <v>214.87</v>
      </c>
    </row>
    <row r="24" spans="1:38" x14ac:dyDescent="0.2">
      <c r="A24" s="125">
        <v>7</v>
      </c>
      <c r="B24" s="99">
        <v>51.31</v>
      </c>
      <c r="C24" s="99">
        <v>930.6</v>
      </c>
      <c r="D24" s="20">
        <v>28649.47</v>
      </c>
      <c r="E24" s="20">
        <v>19099.62</v>
      </c>
      <c r="F24" s="106">
        <f t="shared" si="0"/>
        <v>47749.09</v>
      </c>
      <c r="G24" s="106">
        <f t="shared" si="1"/>
        <v>2387.4499999999998</v>
      </c>
      <c r="H24" s="106">
        <f t="shared" si="9"/>
        <v>198.95</v>
      </c>
      <c r="I24" s="106">
        <f t="shared" si="2"/>
        <v>2148.71</v>
      </c>
      <c r="J24" s="106">
        <f t="shared" si="10"/>
        <v>179.06</v>
      </c>
      <c r="L24" s="20">
        <v>67.69</v>
      </c>
      <c r="M24" s="20">
        <v>27.88</v>
      </c>
      <c r="N24" s="20">
        <v>33.46</v>
      </c>
      <c r="O24" s="20">
        <f t="shared" si="11"/>
        <v>50.03</v>
      </c>
      <c r="P24" s="20">
        <f t="shared" si="12"/>
        <v>179.06</v>
      </c>
      <c r="Q24" s="20">
        <f t="shared" si="13"/>
        <v>179.06</v>
      </c>
      <c r="R24" s="20">
        <f t="shared" si="14"/>
        <v>1074.3599999999999</v>
      </c>
      <c r="S24" s="112">
        <f t="shared" si="15"/>
        <v>54529.46</v>
      </c>
      <c r="T24" s="106">
        <f t="shared" si="16"/>
        <v>2726.47</v>
      </c>
      <c r="U24" s="106">
        <f t="shared" si="17"/>
        <v>227.21</v>
      </c>
      <c r="V24" s="106">
        <f t="shared" si="18"/>
        <v>2453.83</v>
      </c>
      <c r="W24" s="112">
        <f t="shared" si="19"/>
        <v>204.49</v>
      </c>
      <c r="X24" s="106">
        <f t="shared" si="20"/>
        <v>25.43</v>
      </c>
      <c r="Y24" s="113">
        <f t="shared" si="21"/>
        <v>0.14000000000000001</v>
      </c>
      <c r="Z24" s="20">
        <f t="shared" si="22"/>
        <v>6446.16</v>
      </c>
      <c r="AA24" s="109">
        <f t="shared" si="23"/>
        <v>1226.94</v>
      </c>
      <c r="AB24" s="106">
        <f t="shared" si="24"/>
        <v>152.58000000000001</v>
      </c>
      <c r="AD24" s="122">
        <f t="shared" si="3"/>
        <v>72.441999999999993</v>
      </c>
      <c r="AE24" s="106">
        <f t="shared" si="25"/>
        <v>29.84</v>
      </c>
      <c r="AF24" s="106">
        <f t="shared" si="26"/>
        <v>25.43</v>
      </c>
      <c r="AG24" s="104">
        <f t="shared" si="4"/>
        <v>46.54</v>
      </c>
      <c r="AH24" s="106">
        <f t="shared" si="5"/>
        <v>53.24</v>
      </c>
      <c r="AI24" s="106">
        <f t="shared" si="6"/>
        <v>227.49</v>
      </c>
      <c r="AJ24" s="106">
        <f t="shared" si="7"/>
        <v>265.74</v>
      </c>
      <c r="AL24" s="105">
        <f t="shared" si="8"/>
        <v>279.24</v>
      </c>
    </row>
    <row r="25" spans="1:38" x14ac:dyDescent="0.2">
      <c r="A25" s="125">
        <v>8</v>
      </c>
      <c r="B25" s="99">
        <v>66.680000000000007</v>
      </c>
      <c r="C25" s="99">
        <v>930.6</v>
      </c>
      <c r="D25" s="20">
        <v>37231.46</v>
      </c>
      <c r="E25" s="20">
        <v>24820.94</v>
      </c>
      <c r="F25" s="106">
        <f t="shared" si="0"/>
        <v>62052.4</v>
      </c>
      <c r="G25" s="106">
        <f t="shared" si="1"/>
        <v>3102.62</v>
      </c>
      <c r="H25" s="106">
        <f t="shared" si="9"/>
        <v>258.55</v>
      </c>
      <c r="I25" s="106">
        <f t="shared" si="2"/>
        <v>2792.36</v>
      </c>
      <c r="J25" s="106">
        <f t="shared" si="10"/>
        <v>232.7</v>
      </c>
      <c r="L25" s="20">
        <v>87.96</v>
      </c>
      <c r="M25" s="20">
        <v>36.24</v>
      </c>
      <c r="N25" s="20">
        <v>43.48</v>
      </c>
      <c r="O25" s="20">
        <f t="shared" si="11"/>
        <v>65.02</v>
      </c>
      <c r="P25" s="20">
        <f t="shared" si="12"/>
        <v>232.7</v>
      </c>
      <c r="Q25" s="20">
        <f t="shared" si="13"/>
        <v>232.7</v>
      </c>
      <c r="R25" s="20">
        <f t="shared" si="14"/>
        <v>1396.2</v>
      </c>
      <c r="S25" s="112">
        <f t="shared" si="15"/>
        <v>70863.839999999997</v>
      </c>
      <c r="T25" s="106">
        <f t="shared" si="16"/>
        <v>3543.19</v>
      </c>
      <c r="U25" s="106">
        <f t="shared" si="17"/>
        <v>295.27</v>
      </c>
      <c r="V25" s="106">
        <f t="shared" si="18"/>
        <v>3188.87</v>
      </c>
      <c r="W25" s="112">
        <f t="shared" si="19"/>
        <v>265.74</v>
      </c>
      <c r="X25" s="106">
        <f t="shared" si="20"/>
        <v>33.04</v>
      </c>
      <c r="Y25" s="113">
        <f t="shared" si="21"/>
        <v>0.14000000000000001</v>
      </c>
      <c r="Z25" s="20">
        <f t="shared" si="22"/>
        <v>8377.2000000000007</v>
      </c>
      <c r="AA25" s="109">
        <f t="shared" si="23"/>
        <v>1594.44</v>
      </c>
      <c r="AB25" s="106">
        <f t="shared" si="24"/>
        <v>198.24</v>
      </c>
      <c r="AD25" s="122">
        <f t="shared" si="3"/>
        <v>94.141999999999996</v>
      </c>
      <c r="AE25" s="106">
        <f t="shared" si="25"/>
        <v>38.78</v>
      </c>
      <c r="AF25" s="106">
        <f t="shared" si="26"/>
        <v>33.04</v>
      </c>
      <c r="AG25" s="104">
        <f t="shared" si="4"/>
        <v>28.77</v>
      </c>
      <c r="AH25" s="106">
        <f t="shared" si="5"/>
        <v>32.909999999999997</v>
      </c>
      <c r="AI25" s="106">
        <f t="shared" si="6"/>
        <v>227.64</v>
      </c>
      <c r="AJ25" s="106">
        <f t="shared" si="7"/>
        <v>164.27</v>
      </c>
      <c r="AL25" s="105">
        <f t="shared" si="8"/>
        <v>172.62</v>
      </c>
    </row>
    <row r="26" spans="1:38" x14ac:dyDescent="0.2">
      <c r="A26" s="125">
        <v>9</v>
      </c>
      <c r="B26" s="99">
        <v>41.22</v>
      </c>
      <c r="C26" s="99">
        <v>930.6</v>
      </c>
      <c r="D26" s="20">
        <v>23015.61</v>
      </c>
      <c r="E26" s="20">
        <v>15343.72</v>
      </c>
      <c r="F26" s="106">
        <f t="shared" si="0"/>
        <v>38359.33</v>
      </c>
      <c r="G26" s="106">
        <f t="shared" si="1"/>
        <v>1917.97</v>
      </c>
      <c r="H26" s="106">
        <f t="shared" si="9"/>
        <v>159.83000000000001</v>
      </c>
      <c r="I26" s="106">
        <f t="shared" si="2"/>
        <v>1726.17</v>
      </c>
      <c r="J26" s="106">
        <f t="shared" si="10"/>
        <v>143.85</v>
      </c>
      <c r="L26" s="20">
        <v>54.38</v>
      </c>
      <c r="M26" s="20">
        <v>22.4</v>
      </c>
      <c r="N26" s="20">
        <v>26.88</v>
      </c>
      <c r="O26" s="20">
        <f t="shared" si="11"/>
        <v>40.19</v>
      </c>
      <c r="P26" s="20">
        <f t="shared" si="12"/>
        <v>143.85</v>
      </c>
      <c r="Q26" s="20">
        <f t="shared" si="13"/>
        <v>143.85</v>
      </c>
      <c r="R26" s="20">
        <f t="shared" si="14"/>
        <v>863.1</v>
      </c>
      <c r="S26" s="112">
        <f t="shared" si="15"/>
        <v>43806.35</v>
      </c>
      <c r="T26" s="106">
        <f t="shared" si="16"/>
        <v>2190.3200000000002</v>
      </c>
      <c r="U26" s="106">
        <f t="shared" si="17"/>
        <v>182.53</v>
      </c>
      <c r="V26" s="106">
        <f t="shared" si="18"/>
        <v>1971.29</v>
      </c>
      <c r="W26" s="112">
        <f t="shared" si="19"/>
        <v>164.27</v>
      </c>
      <c r="X26" s="106">
        <f t="shared" si="20"/>
        <v>20.420000000000002</v>
      </c>
      <c r="Y26" s="113">
        <f t="shared" si="21"/>
        <v>0.14000000000000001</v>
      </c>
      <c r="Z26" s="20">
        <f t="shared" si="22"/>
        <v>5178.6000000000004</v>
      </c>
      <c r="AA26" s="109">
        <f t="shared" si="23"/>
        <v>985.62</v>
      </c>
      <c r="AB26" s="106">
        <f t="shared" si="24"/>
        <v>122.52</v>
      </c>
      <c r="AD26" s="122">
        <f t="shared" si="3"/>
        <v>58.195999999999998</v>
      </c>
      <c r="AE26" s="106">
        <f t="shared" si="25"/>
        <v>23.97</v>
      </c>
      <c r="AF26" s="106">
        <f t="shared" si="26"/>
        <v>20.420000000000002</v>
      </c>
      <c r="AG26" s="104">
        <f t="shared" si="4"/>
        <v>35.81</v>
      </c>
      <c r="AH26" s="106">
        <f t="shared" si="5"/>
        <v>40.97</v>
      </c>
      <c r="AI26" s="106">
        <f t="shared" si="6"/>
        <v>179.37</v>
      </c>
      <c r="AJ26" s="106">
        <f t="shared" si="7"/>
        <v>204.49</v>
      </c>
      <c r="AL26" s="105">
        <f t="shared" si="8"/>
        <v>214.87</v>
      </c>
    </row>
    <row r="27" spans="1:38" x14ac:dyDescent="0.2">
      <c r="A27" s="125">
        <v>10</v>
      </c>
      <c r="B27" s="99">
        <v>51.31</v>
      </c>
      <c r="C27" s="99">
        <v>930.6</v>
      </c>
      <c r="D27" s="20">
        <v>28649.47</v>
      </c>
      <c r="E27" s="20">
        <v>19099.62</v>
      </c>
      <c r="F27" s="106">
        <f t="shared" si="0"/>
        <v>47749.09</v>
      </c>
      <c r="G27" s="106">
        <f t="shared" si="1"/>
        <v>2387.4499999999998</v>
      </c>
      <c r="H27" s="106">
        <f t="shared" si="9"/>
        <v>198.95</v>
      </c>
      <c r="I27" s="106">
        <f t="shared" si="2"/>
        <v>2148.71</v>
      </c>
      <c r="J27" s="106">
        <f t="shared" si="10"/>
        <v>179.06</v>
      </c>
      <c r="L27" s="20">
        <v>67.69</v>
      </c>
      <c r="M27" s="20">
        <v>27.88</v>
      </c>
      <c r="N27" s="20">
        <v>33.46</v>
      </c>
      <c r="O27" s="20">
        <f t="shared" si="11"/>
        <v>50.03</v>
      </c>
      <c r="P27" s="20">
        <f t="shared" si="12"/>
        <v>179.06</v>
      </c>
      <c r="Q27" s="20">
        <f t="shared" si="13"/>
        <v>179.06</v>
      </c>
      <c r="R27" s="20">
        <f t="shared" si="14"/>
        <v>1074.3599999999999</v>
      </c>
      <c r="S27" s="112">
        <f t="shared" si="15"/>
        <v>54529.46</v>
      </c>
      <c r="T27" s="106">
        <f t="shared" si="16"/>
        <v>2726.47</v>
      </c>
      <c r="U27" s="106">
        <f t="shared" si="17"/>
        <v>227.21</v>
      </c>
      <c r="V27" s="106">
        <f t="shared" si="18"/>
        <v>2453.83</v>
      </c>
      <c r="W27" s="112">
        <f t="shared" si="19"/>
        <v>204.49</v>
      </c>
      <c r="X27" s="106">
        <f t="shared" si="20"/>
        <v>25.43</v>
      </c>
      <c r="Y27" s="113">
        <f t="shared" si="21"/>
        <v>0.14000000000000001</v>
      </c>
      <c r="Z27" s="20">
        <f t="shared" si="22"/>
        <v>6446.16</v>
      </c>
      <c r="AA27" s="109">
        <f t="shared" si="23"/>
        <v>1226.94</v>
      </c>
      <c r="AB27" s="106">
        <f t="shared" si="24"/>
        <v>152.58000000000001</v>
      </c>
      <c r="AD27" s="122">
        <f t="shared" si="3"/>
        <v>72.441999999999993</v>
      </c>
      <c r="AE27" s="106">
        <f t="shared" si="25"/>
        <v>29.84</v>
      </c>
      <c r="AF27" s="106">
        <f t="shared" si="26"/>
        <v>25.43</v>
      </c>
      <c r="AG27" s="104">
        <f t="shared" si="4"/>
        <v>46.54</v>
      </c>
      <c r="AH27" s="106">
        <f t="shared" si="5"/>
        <v>53.24</v>
      </c>
      <c r="AI27" s="106">
        <f t="shared" si="6"/>
        <v>227.49</v>
      </c>
      <c r="AJ27" s="106">
        <f t="shared" si="7"/>
        <v>265.74</v>
      </c>
      <c r="AL27" s="105">
        <f t="shared" si="8"/>
        <v>279.24</v>
      </c>
    </row>
    <row r="28" spans="1:38" x14ac:dyDescent="0.2">
      <c r="A28" s="125">
        <v>11</v>
      </c>
      <c r="B28" s="99">
        <v>66.680000000000007</v>
      </c>
      <c r="C28" s="99">
        <v>930.6</v>
      </c>
      <c r="D28" s="20">
        <v>37231.46</v>
      </c>
      <c r="E28" s="20">
        <v>24820.94</v>
      </c>
      <c r="F28" s="106">
        <f t="shared" si="0"/>
        <v>62052.4</v>
      </c>
      <c r="G28" s="106">
        <f t="shared" si="1"/>
        <v>3102.62</v>
      </c>
      <c r="H28" s="106">
        <f t="shared" si="9"/>
        <v>258.55</v>
      </c>
      <c r="I28" s="106">
        <f t="shared" si="2"/>
        <v>2792.36</v>
      </c>
      <c r="J28" s="106">
        <f t="shared" si="10"/>
        <v>232.7</v>
      </c>
      <c r="L28" s="20">
        <v>87.96</v>
      </c>
      <c r="M28" s="20">
        <v>36.24</v>
      </c>
      <c r="N28" s="20">
        <v>43.48</v>
      </c>
      <c r="O28" s="20">
        <f t="shared" si="11"/>
        <v>65.02</v>
      </c>
      <c r="P28" s="20">
        <f t="shared" si="12"/>
        <v>232.7</v>
      </c>
      <c r="Q28" s="20">
        <f t="shared" si="13"/>
        <v>232.7</v>
      </c>
      <c r="R28" s="20">
        <f t="shared" si="14"/>
        <v>1396.2</v>
      </c>
      <c r="S28" s="112">
        <f t="shared" si="15"/>
        <v>70863.839999999997</v>
      </c>
      <c r="T28" s="106">
        <f t="shared" si="16"/>
        <v>3543.19</v>
      </c>
      <c r="U28" s="106">
        <f t="shared" si="17"/>
        <v>295.27</v>
      </c>
      <c r="V28" s="106">
        <f t="shared" si="18"/>
        <v>3188.87</v>
      </c>
      <c r="W28" s="112">
        <f t="shared" si="19"/>
        <v>265.74</v>
      </c>
      <c r="X28" s="106">
        <f t="shared" si="20"/>
        <v>33.04</v>
      </c>
      <c r="Y28" s="113">
        <f t="shared" si="21"/>
        <v>0.14000000000000001</v>
      </c>
      <c r="Z28" s="20">
        <f t="shared" si="22"/>
        <v>8377.2000000000007</v>
      </c>
      <c r="AA28" s="109">
        <f t="shared" si="23"/>
        <v>1594.44</v>
      </c>
      <c r="AB28" s="106">
        <f t="shared" si="24"/>
        <v>198.24</v>
      </c>
      <c r="AD28" s="122">
        <f t="shared" si="3"/>
        <v>94.141999999999996</v>
      </c>
      <c r="AE28" s="106">
        <f t="shared" si="25"/>
        <v>38.78</v>
      </c>
      <c r="AF28" s="106">
        <f t="shared" si="26"/>
        <v>33.04</v>
      </c>
      <c r="AG28" s="104">
        <f t="shared" si="4"/>
        <v>28.77</v>
      </c>
      <c r="AH28" s="106">
        <f t="shared" si="5"/>
        <v>32.909999999999997</v>
      </c>
      <c r="AI28" s="106">
        <f>SUM(AD28:AH28)</f>
        <v>227.64</v>
      </c>
      <c r="AJ28" s="106">
        <f t="shared" si="7"/>
        <v>164.27</v>
      </c>
      <c r="AL28" s="105">
        <f t="shared" si="8"/>
        <v>172.62</v>
      </c>
    </row>
    <row r="29" spans="1:38" x14ac:dyDescent="0.2">
      <c r="A29" s="125">
        <v>12</v>
      </c>
      <c r="B29" s="99">
        <v>41.22</v>
      </c>
      <c r="C29" s="99">
        <v>930.6</v>
      </c>
      <c r="D29" s="20">
        <v>23015.61</v>
      </c>
      <c r="E29" s="20">
        <v>15343.72</v>
      </c>
      <c r="F29" s="106">
        <f t="shared" si="0"/>
        <v>38359.33</v>
      </c>
      <c r="G29" s="106">
        <f t="shared" si="1"/>
        <v>1917.97</v>
      </c>
      <c r="H29" s="106">
        <f t="shared" si="9"/>
        <v>159.83000000000001</v>
      </c>
      <c r="I29" s="106">
        <f t="shared" si="2"/>
        <v>1726.17</v>
      </c>
      <c r="J29" s="106">
        <f t="shared" si="10"/>
        <v>143.85</v>
      </c>
      <c r="L29" s="20">
        <v>54.38</v>
      </c>
      <c r="M29" s="20">
        <v>22.4</v>
      </c>
      <c r="N29" s="20">
        <v>26.88</v>
      </c>
      <c r="O29" s="20">
        <f t="shared" si="11"/>
        <v>40.19</v>
      </c>
      <c r="P29" s="20">
        <f t="shared" si="12"/>
        <v>143.85</v>
      </c>
      <c r="Q29" s="20">
        <f t="shared" si="13"/>
        <v>143.85</v>
      </c>
      <c r="R29" s="20">
        <f t="shared" si="14"/>
        <v>863.1</v>
      </c>
      <c r="S29" s="112">
        <f t="shared" si="15"/>
        <v>43806.35</v>
      </c>
      <c r="T29" s="106">
        <f t="shared" si="16"/>
        <v>2190.3200000000002</v>
      </c>
      <c r="U29" s="106">
        <f t="shared" si="17"/>
        <v>182.53</v>
      </c>
      <c r="V29" s="106">
        <f t="shared" si="18"/>
        <v>1971.29</v>
      </c>
      <c r="W29" s="112">
        <f t="shared" si="19"/>
        <v>164.27</v>
      </c>
      <c r="X29" s="106">
        <f t="shared" si="20"/>
        <v>20.420000000000002</v>
      </c>
      <c r="Y29" s="113">
        <f t="shared" si="21"/>
        <v>0.14000000000000001</v>
      </c>
      <c r="Z29" s="20">
        <f t="shared" si="22"/>
        <v>5178.6000000000004</v>
      </c>
      <c r="AA29" s="109">
        <f t="shared" si="23"/>
        <v>985.62</v>
      </c>
      <c r="AB29" s="106">
        <f t="shared" si="24"/>
        <v>122.52</v>
      </c>
      <c r="AD29" s="122">
        <f t="shared" si="3"/>
        <v>58.195999999999998</v>
      </c>
      <c r="AE29" s="106">
        <f t="shared" si="25"/>
        <v>23.97</v>
      </c>
      <c r="AF29" s="106">
        <f t="shared" si="26"/>
        <v>20.420000000000002</v>
      </c>
      <c r="AG29" s="106">
        <f>SUM(AG6:AG28)</f>
        <v>802.61</v>
      </c>
      <c r="AH29" s="106">
        <f>SUM(AH6:AH28)</f>
        <v>918.16</v>
      </c>
      <c r="AI29" s="106" t="e">
        <f>#REF!+AI6+AI7+AI8+AI9+AI10+AI11+AI12+AI13+AI14+AI15+AI16+AI17+AI18+AI19+AI20+AI21+AI22+AI23+AI24+AI25+AI26+AI27+AI28</f>
        <v>#REF!</v>
      </c>
      <c r="AJ29" s="112" t="e">
        <f>#REF!+AJ6+AJ7+AJ8+AJ9+AJ10+AJ11+AJ12+AJ13+AJ14+AJ15+AJ16+AJ17+AJ18+AJ19+AJ20+AJ21+AJ22+AJ23+AJ24+AJ25+AJ26+AJ27+AJ28</f>
        <v>#REF!</v>
      </c>
    </row>
    <row r="30" spans="1:38" s="100" customFormat="1" hidden="1" x14ac:dyDescent="0.2">
      <c r="A30" s="99" t="s">
        <v>244</v>
      </c>
      <c r="B30" s="99">
        <f>SUM(B6:B29)</f>
        <v>1199.1199999999999</v>
      </c>
      <c r="C30" s="114">
        <f>F30/B30</f>
        <v>930.6</v>
      </c>
      <c r="D30" s="20">
        <v>669541</v>
      </c>
      <c r="E30" s="20">
        <v>446360</v>
      </c>
      <c r="F30" s="106">
        <v>1115901</v>
      </c>
      <c r="G30" s="106">
        <f>F30*5%</f>
        <v>55795.05</v>
      </c>
      <c r="H30" s="106">
        <f>G30*5%</f>
        <v>2789.75</v>
      </c>
      <c r="I30" s="106">
        <f>F30*4.5%</f>
        <v>50215.55</v>
      </c>
      <c r="J30" s="112">
        <f>SUM(J6:J29)</f>
        <v>4184.66</v>
      </c>
      <c r="K30" s="20">
        <v>18981.84</v>
      </c>
      <c r="L30" s="20">
        <f>SUM(L6:L29)</f>
        <v>1581.86</v>
      </c>
      <c r="M30" s="20">
        <f t="shared" ref="M30:O30" si="27">SUM(M6:M29)</f>
        <v>651.64</v>
      </c>
      <c r="N30" s="20">
        <f t="shared" si="27"/>
        <v>781.96</v>
      </c>
      <c r="O30" s="20">
        <f t="shared" si="27"/>
        <v>1169.2</v>
      </c>
      <c r="P30" s="20">
        <f>SUM(L30:O30)</f>
        <v>4184.66</v>
      </c>
      <c r="Q30" s="20">
        <f>SUM(Q6:Q29)</f>
        <v>4184.66</v>
      </c>
      <c r="R30" s="112">
        <f>SUM(R6:R29)</f>
        <v>25107.96</v>
      </c>
      <c r="S30" s="106">
        <f>SUM(S6:S29)</f>
        <v>1274358.96</v>
      </c>
      <c r="T30" s="106"/>
      <c r="U30" s="106"/>
      <c r="V30" s="106"/>
      <c r="W30" s="112">
        <f>SUM(W6:W29)</f>
        <v>4778.88</v>
      </c>
      <c r="X30" s="112"/>
      <c r="Y30" s="112"/>
      <c r="Z30" s="112">
        <f>SUM(Z6:Z29)</f>
        <v>150647.76</v>
      </c>
      <c r="AA30" s="106">
        <f>SUM(AA6:AA29)</f>
        <v>28673.279999999999</v>
      </c>
      <c r="AB30" s="106">
        <f>SUM(AB6:AB29)</f>
        <v>3565.32</v>
      </c>
      <c r="AC30" s="106">
        <v>20315.64</v>
      </c>
      <c r="AD30" s="106">
        <f>SUM(AD6:AD29)</f>
        <v>1692.97</v>
      </c>
      <c r="AE30" s="106">
        <f>SUM(AE6:AE29)</f>
        <v>697.42</v>
      </c>
      <c r="AF30" s="106">
        <f>SUM(AF6:AF29)</f>
        <v>594.22</v>
      </c>
      <c r="AG30" s="20"/>
      <c r="AH30" s="20"/>
      <c r="AI30" s="20"/>
      <c r="AJ30" s="20"/>
    </row>
    <row r="31" spans="1:38" s="100" customFormat="1" hidden="1" x14ac:dyDescent="0.2">
      <c r="B31" s="99"/>
      <c r="C31" s="9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109"/>
      <c r="X31" s="20"/>
      <c r="Y31" s="20"/>
      <c r="Z31" s="20"/>
      <c r="AA31" s="20"/>
      <c r="AB31" s="20"/>
      <c r="AC31" s="20"/>
      <c r="AD31" s="20"/>
      <c r="AE31" s="20"/>
      <c r="AF31" s="20">
        <f>AF30*12</f>
        <v>7130.64</v>
      </c>
      <c r="AG31" s="20"/>
      <c r="AH31" s="20"/>
      <c r="AI31" s="20"/>
      <c r="AJ31" s="20"/>
    </row>
    <row r="32" spans="1:38" s="100" customFormat="1" ht="25.5" hidden="1" customHeight="1" x14ac:dyDescent="0.2">
      <c r="B32" s="99" t="s">
        <v>245</v>
      </c>
      <c r="C32" s="99"/>
      <c r="D32" s="20"/>
      <c r="E32" s="20"/>
      <c r="F32" s="99"/>
      <c r="G32" s="99"/>
      <c r="H32" s="20"/>
      <c r="I32" s="20" t="s">
        <v>246</v>
      </c>
      <c r="J32" s="99"/>
      <c r="K32" s="20"/>
      <c r="L32" s="20"/>
      <c r="M32" s="20"/>
      <c r="N32" s="20"/>
      <c r="O32" s="20"/>
      <c r="P32" s="20"/>
      <c r="Q32" s="20"/>
      <c r="R32" s="20"/>
      <c r="S32" s="99"/>
      <c r="T32" s="99"/>
      <c r="U32" s="20"/>
      <c r="V32" s="20" t="s">
        <v>246</v>
      </c>
      <c r="W32" s="97"/>
      <c r="X32" s="99"/>
      <c r="Y32" s="99"/>
      <c r="Z32" s="99"/>
      <c r="AA32" s="99"/>
      <c r="AB32" s="99"/>
      <c r="AC32" s="20"/>
      <c r="AD32" s="20"/>
      <c r="AE32" s="20"/>
      <c r="AF32" s="20"/>
      <c r="AG32" s="108" t="s">
        <v>249</v>
      </c>
      <c r="AH32" s="108" t="s">
        <v>250</v>
      </c>
      <c r="AI32" s="108"/>
      <c r="AJ32" s="108"/>
    </row>
    <row r="33" spans="1:37" s="100" customFormat="1" ht="25.5" hidden="1" x14ac:dyDescent="0.2">
      <c r="B33" s="99"/>
      <c r="C33" s="99"/>
      <c r="D33" s="20"/>
      <c r="E33" s="20"/>
      <c r="F33" s="20"/>
      <c r="G33" s="99"/>
      <c r="H33" s="20"/>
      <c r="I33" s="20"/>
      <c r="J33" s="99"/>
      <c r="K33" s="20"/>
      <c r="L33" s="108" t="s">
        <v>247</v>
      </c>
      <c r="M33" s="108" t="s">
        <v>248</v>
      </c>
      <c r="N33" s="108" t="s">
        <v>249</v>
      </c>
      <c r="O33" s="108" t="s">
        <v>250</v>
      </c>
      <c r="P33" s="108"/>
      <c r="Q33" s="108"/>
      <c r="R33" s="108"/>
      <c r="S33" s="20"/>
      <c r="T33" s="99"/>
      <c r="U33" s="20"/>
      <c r="V33" s="20"/>
      <c r="W33" s="97"/>
      <c r="X33" s="99"/>
      <c r="Y33" s="99"/>
      <c r="Z33" s="99"/>
      <c r="AA33" s="99"/>
      <c r="AB33" s="99"/>
      <c r="AC33" s="20"/>
      <c r="AD33" s="108" t="s">
        <v>247</v>
      </c>
      <c r="AE33" s="108" t="s">
        <v>248</v>
      </c>
      <c r="AF33" s="108" t="s">
        <v>263</v>
      </c>
      <c r="AG33" s="20"/>
      <c r="AH33" s="20"/>
      <c r="AI33" s="20"/>
      <c r="AJ33" s="20"/>
    </row>
    <row r="34" spans="1:37" s="100" customFormat="1" hidden="1" x14ac:dyDescent="0.2">
      <c r="B34" s="99"/>
      <c r="C34" s="99"/>
      <c r="D34" s="20"/>
      <c r="E34" s="20"/>
      <c r="F34" s="20"/>
      <c r="G34" s="99"/>
      <c r="H34" s="20"/>
      <c r="I34" s="20"/>
      <c r="J34" s="99"/>
      <c r="K34" s="20"/>
      <c r="L34" s="20"/>
      <c r="M34" s="20"/>
      <c r="N34" s="20"/>
      <c r="O34" s="20"/>
      <c r="P34" s="20"/>
      <c r="Q34" s="20"/>
      <c r="R34" s="20"/>
      <c r="S34" s="20"/>
      <c r="T34" s="99"/>
      <c r="U34" s="20"/>
      <c r="V34" s="20"/>
      <c r="W34" s="97"/>
      <c r="X34" s="99"/>
      <c r="Y34" s="99"/>
      <c r="Z34" s="99"/>
      <c r="AA34" s="99"/>
      <c r="AB34" s="99"/>
      <c r="AC34" s="20"/>
      <c r="AD34" s="20"/>
      <c r="AE34" s="20"/>
      <c r="AF34" s="20"/>
      <c r="AG34" s="20"/>
      <c r="AH34" s="20"/>
      <c r="AI34" s="20"/>
      <c r="AJ34" s="20"/>
    </row>
    <row r="35" spans="1:37" s="100" customFormat="1" hidden="1" x14ac:dyDescent="0.2">
      <c r="B35" s="99"/>
      <c r="C35" s="99"/>
      <c r="D35" s="20"/>
      <c r="E35" s="20"/>
      <c r="F35" s="20"/>
      <c r="G35" s="99"/>
      <c r="H35" s="20"/>
      <c r="I35" s="20"/>
      <c r="J35" s="99"/>
      <c r="K35" s="20"/>
      <c r="L35" s="20"/>
      <c r="M35" s="20"/>
      <c r="N35" s="20"/>
      <c r="O35" s="20"/>
      <c r="P35" s="20"/>
      <c r="Q35" s="20"/>
      <c r="R35" s="20"/>
      <c r="S35" s="20"/>
      <c r="T35" s="99"/>
      <c r="U35" s="20"/>
      <c r="V35" s="20"/>
      <c r="W35" s="97"/>
      <c r="X35" s="99"/>
      <c r="Y35" s="99"/>
      <c r="Z35" s="99"/>
      <c r="AA35" s="99"/>
      <c r="AB35" s="99"/>
      <c r="AC35" s="20"/>
      <c r="AD35" s="20"/>
      <c r="AE35" s="20"/>
      <c r="AF35" s="20"/>
      <c r="AG35" s="20"/>
      <c r="AH35" s="20"/>
      <c r="AI35" s="20"/>
      <c r="AJ35" s="20"/>
    </row>
    <row r="36" spans="1:37" s="100" customFormat="1" hidden="1" x14ac:dyDescent="0.2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7"/>
      <c r="X36" s="99"/>
      <c r="Y36" s="99"/>
      <c r="Z36" s="99"/>
      <c r="AA36" s="99"/>
      <c r="AB36" s="99"/>
      <c r="AC36" s="20"/>
      <c r="AD36" s="20"/>
      <c r="AE36" s="20"/>
      <c r="AF36" s="20"/>
      <c r="AG36" s="20"/>
      <c r="AH36" s="20"/>
      <c r="AI36" s="20"/>
      <c r="AJ36" s="20"/>
    </row>
    <row r="37" spans="1:37" s="100" customFormat="1" hidden="1" x14ac:dyDescent="0.2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7"/>
      <c r="X37" s="99"/>
      <c r="Y37" s="99"/>
      <c r="Z37" s="99"/>
      <c r="AA37" s="99"/>
      <c r="AB37" s="99"/>
      <c r="AC37" s="20"/>
      <c r="AD37" s="20"/>
      <c r="AE37" s="20"/>
      <c r="AF37" s="20"/>
      <c r="AG37" s="20"/>
      <c r="AH37" s="20"/>
      <c r="AI37" s="20"/>
      <c r="AJ37" s="20"/>
    </row>
    <row r="38" spans="1:37" s="100" customFormat="1" hidden="1" x14ac:dyDescent="0.2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7"/>
      <c r="X38" s="99"/>
      <c r="Y38" s="99"/>
      <c r="Z38" s="99"/>
      <c r="AA38" s="99"/>
      <c r="AB38" s="99"/>
      <c r="AC38" s="20"/>
      <c r="AD38" s="20"/>
      <c r="AE38" s="20"/>
      <c r="AF38" s="20"/>
      <c r="AG38" s="20"/>
      <c r="AH38" s="20"/>
      <c r="AI38" s="20"/>
      <c r="AJ38" s="20"/>
    </row>
    <row r="39" spans="1:37" s="100" customFormat="1" hidden="1" x14ac:dyDescent="0.2">
      <c r="B39" s="99"/>
      <c r="C39" s="9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109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7" s="100" customFormat="1" hidden="1" x14ac:dyDescent="0.2">
      <c r="B40" s="115" t="s">
        <v>251</v>
      </c>
      <c r="C40" s="99"/>
      <c r="D40" s="116" t="s">
        <v>252</v>
      </c>
      <c r="E40" s="116" t="s">
        <v>253</v>
      </c>
      <c r="F40" s="20"/>
      <c r="G40" s="99"/>
      <c r="H40" s="20"/>
      <c r="I40" s="20"/>
      <c r="J40" s="99"/>
      <c r="K40" s="20"/>
      <c r="L40" s="20"/>
      <c r="M40" s="20"/>
      <c r="N40" s="20"/>
      <c r="O40" s="20"/>
      <c r="P40" s="20"/>
      <c r="Q40" s="20"/>
      <c r="R40" s="20"/>
      <c r="S40" s="20"/>
      <c r="T40" s="99"/>
      <c r="U40" s="20"/>
      <c r="V40" s="20" t="s">
        <v>254</v>
      </c>
      <c r="W40" s="97"/>
      <c r="X40" s="99"/>
      <c r="Y40" s="99"/>
      <c r="Z40" s="99"/>
      <c r="AA40" s="99"/>
      <c r="AB40" s="99"/>
      <c r="AC40" s="20"/>
      <c r="AD40" s="20"/>
      <c r="AE40" s="20"/>
      <c r="AF40" s="20"/>
      <c r="AG40" s="20"/>
      <c r="AH40" s="20"/>
      <c r="AI40" s="20"/>
      <c r="AJ40" s="20"/>
    </row>
    <row r="41" spans="1:37" s="100" customFormat="1" hidden="1" x14ac:dyDescent="0.2">
      <c r="B41" s="99" t="s">
        <v>255</v>
      </c>
      <c r="C41" s="99"/>
      <c r="D41" s="20"/>
      <c r="E41" s="20"/>
      <c r="F41" s="20"/>
      <c r="G41" s="99"/>
      <c r="H41" s="20"/>
      <c r="I41" s="99"/>
      <c r="J41" s="99"/>
      <c r="K41" s="20"/>
      <c r="L41" s="20"/>
      <c r="M41" s="20"/>
      <c r="N41" s="20"/>
      <c r="O41" s="20"/>
      <c r="P41" s="20"/>
      <c r="Q41" s="20"/>
      <c r="R41" s="20"/>
      <c r="S41" s="20"/>
      <c r="T41" s="99"/>
      <c r="U41" s="20"/>
      <c r="V41" s="99" t="s">
        <v>256</v>
      </c>
      <c r="W41" s="97"/>
      <c r="X41" s="99"/>
      <c r="Y41" s="99"/>
      <c r="Z41" s="99"/>
      <c r="AA41" s="99"/>
      <c r="AB41" s="99"/>
      <c r="AC41" s="20"/>
      <c r="AD41" s="20"/>
      <c r="AE41" s="20"/>
      <c r="AF41" s="20"/>
      <c r="AG41" s="20"/>
      <c r="AH41" s="20"/>
      <c r="AI41" s="20"/>
      <c r="AJ41" s="20"/>
    </row>
    <row r="42" spans="1:37" s="100" customFormat="1" hidden="1" x14ac:dyDescent="0.2">
      <c r="B42" s="99" t="s">
        <v>257</v>
      </c>
      <c r="C42" s="99"/>
      <c r="D42" s="20"/>
      <c r="E42" s="20"/>
      <c r="F42" s="20"/>
      <c r="G42" s="99"/>
      <c r="H42" s="20"/>
      <c r="I42" s="99"/>
      <c r="J42" s="99"/>
      <c r="K42" s="20"/>
      <c r="L42" s="20"/>
      <c r="M42" s="20"/>
      <c r="N42" s="20"/>
      <c r="O42" s="20"/>
      <c r="P42" s="20"/>
      <c r="Q42" s="20"/>
      <c r="R42" s="20"/>
      <c r="S42" s="20"/>
      <c r="T42" s="99"/>
      <c r="U42" s="20"/>
      <c r="V42" s="99" t="s">
        <v>258</v>
      </c>
      <c r="W42" s="97"/>
      <c r="X42" s="99"/>
      <c r="Y42" s="99"/>
      <c r="Z42" s="99"/>
      <c r="AA42" s="99"/>
      <c r="AB42" s="99"/>
      <c r="AC42" s="20"/>
      <c r="AD42" s="20"/>
      <c r="AE42" s="20"/>
      <c r="AF42" s="20"/>
      <c r="AG42" s="20"/>
      <c r="AH42" s="20"/>
      <c r="AI42" s="20"/>
      <c r="AJ42" s="20"/>
    </row>
    <row r="43" spans="1:37" s="100" customFormat="1" x14ac:dyDescent="0.2">
      <c r="B43" s="99"/>
      <c r="C43" s="9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109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</row>
    <row r="44" spans="1:37" s="100" customFormat="1" x14ac:dyDescent="0.2">
      <c r="B44" s="99"/>
      <c r="C44" s="9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109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1:37" s="100" customFormat="1" x14ac:dyDescent="0.2">
      <c r="B45" s="99"/>
      <c r="C45" s="9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109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</row>
    <row r="46" spans="1:37" s="20" customFormat="1" x14ac:dyDescent="0.2">
      <c r="A46" s="100"/>
      <c r="B46" s="99"/>
      <c r="C46" s="99"/>
      <c r="W46" s="109"/>
      <c r="AK46" s="100"/>
    </row>
    <row r="47" spans="1:37" s="20" customFormat="1" ht="15" x14ac:dyDescent="0.2">
      <c r="B47" t="s">
        <v>273</v>
      </c>
      <c r="C47" s="99"/>
      <c r="H47" s="22" t="s">
        <v>279</v>
      </c>
      <c r="W47" s="109"/>
      <c r="AK47" s="100"/>
    </row>
    <row r="48" spans="1:37" s="20" customFormat="1" x14ac:dyDescent="0.2">
      <c r="B48" s="99"/>
      <c r="C48" s="99"/>
      <c r="W48" s="109"/>
      <c r="AK48" s="100"/>
    </row>
    <row r="49" spans="2:37" s="20" customFormat="1" x14ac:dyDescent="0.2">
      <c r="B49" s="99"/>
      <c r="C49" s="99"/>
      <c r="W49" s="109"/>
      <c r="AK49" s="100"/>
    </row>
    <row r="50" spans="2:37" s="20" customFormat="1" x14ac:dyDescent="0.2">
      <c r="B50" s="99"/>
      <c r="C50" s="99"/>
      <c r="W50" s="109"/>
      <c r="AK50" s="100"/>
    </row>
    <row r="51" spans="2:37" s="20" customFormat="1" x14ac:dyDescent="0.2">
      <c r="B51" s="99"/>
      <c r="C51" s="99"/>
      <c r="W51" s="109"/>
      <c r="AK51" s="100"/>
    </row>
    <row r="52" spans="2:37" s="20" customFormat="1" x14ac:dyDescent="0.2">
      <c r="B52" s="99"/>
      <c r="C52" s="99"/>
      <c r="W52" s="109"/>
      <c r="AK52" s="100"/>
    </row>
    <row r="53" spans="2:37" s="20" customFormat="1" x14ac:dyDescent="0.2">
      <c r="B53" s="99"/>
      <c r="C53" s="99"/>
      <c r="W53" s="109"/>
      <c r="AK53" s="100"/>
    </row>
    <row r="54" spans="2:37" s="20" customFormat="1" x14ac:dyDescent="0.2">
      <c r="B54" s="99"/>
      <c r="C54" s="99"/>
      <c r="W54" s="109"/>
      <c r="AK54" s="100"/>
    </row>
    <row r="55" spans="2:37" s="20" customFormat="1" x14ac:dyDescent="0.2">
      <c r="B55" s="99"/>
      <c r="C55" s="99"/>
      <c r="W55" s="109"/>
      <c r="AK55" s="100"/>
    </row>
    <row r="56" spans="2:37" s="20" customFormat="1" x14ac:dyDescent="0.2">
      <c r="B56" s="99"/>
      <c r="C56" s="99"/>
      <c r="W56" s="109"/>
      <c r="AK56" s="100"/>
    </row>
    <row r="57" spans="2:37" s="20" customFormat="1" x14ac:dyDescent="0.2">
      <c r="B57" s="99"/>
      <c r="C57" s="99"/>
      <c r="W57" s="109"/>
      <c r="AK57" s="100"/>
    </row>
    <row r="58" spans="2:37" s="20" customFormat="1" x14ac:dyDescent="0.2">
      <c r="B58" s="99"/>
      <c r="C58" s="99"/>
      <c r="W58" s="109"/>
      <c r="AK58" s="100"/>
    </row>
    <row r="59" spans="2:37" s="20" customFormat="1" x14ac:dyDescent="0.2">
      <c r="B59" s="99"/>
      <c r="C59" s="99"/>
      <c r="W59" s="109"/>
      <c r="AK59" s="100"/>
    </row>
    <row r="60" spans="2:37" s="20" customFormat="1" x14ac:dyDescent="0.2">
      <c r="B60" s="99"/>
      <c r="C60" s="99"/>
      <c r="W60" s="109"/>
      <c r="AK60" s="100"/>
    </row>
    <row r="61" spans="2:37" s="20" customFormat="1" x14ac:dyDescent="0.2">
      <c r="B61" s="99"/>
      <c r="C61" s="99"/>
      <c r="W61" s="109"/>
      <c r="AK61" s="100"/>
    </row>
    <row r="62" spans="2:37" s="20" customFormat="1" x14ac:dyDescent="0.2">
      <c r="B62" s="99"/>
      <c r="C62" s="99"/>
      <c r="W62" s="109"/>
      <c r="AK62" s="100"/>
    </row>
    <row r="63" spans="2:37" s="20" customFormat="1" x14ac:dyDescent="0.2">
      <c r="W63" s="109"/>
      <c r="AK63" s="100"/>
    </row>
    <row r="64" spans="2:37" s="20" customFormat="1" x14ac:dyDescent="0.2">
      <c r="W64" s="109"/>
      <c r="AK64" s="100"/>
    </row>
    <row r="65" spans="23:37" s="20" customFormat="1" x14ac:dyDescent="0.2">
      <c r="W65" s="109"/>
      <c r="AK65" s="100"/>
    </row>
    <row r="66" spans="23:37" s="20" customFormat="1" x14ac:dyDescent="0.2">
      <c r="W66" s="109"/>
      <c r="AK66" s="100"/>
    </row>
    <row r="67" spans="23:37" s="20" customFormat="1" x14ac:dyDescent="0.2">
      <c r="W67" s="109"/>
      <c r="AK67" s="100"/>
    </row>
    <row r="68" spans="23:37" s="20" customFormat="1" x14ac:dyDescent="0.2">
      <c r="W68" s="109"/>
      <c r="AK68" s="100"/>
    </row>
    <row r="69" spans="23:37" s="20" customFormat="1" x14ac:dyDescent="0.2">
      <c r="W69" s="109"/>
      <c r="AK69" s="100"/>
    </row>
    <row r="70" spans="23:37" s="20" customFormat="1" x14ac:dyDescent="0.2">
      <c r="W70" s="109"/>
      <c r="AK70" s="100"/>
    </row>
    <row r="71" spans="23:37" s="20" customFormat="1" x14ac:dyDescent="0.2">
      <c r="W71" s="109"/>
      <c r="AK71" s="100"/>
    </row>
    <row r="72" spans="23:37" s="20" customFormat="1" x14ac:dyDescent="0.2">
      <c r="W72" s="109"/>
      <c r="AK72" s="100"/>
    </row>
    <row r="73" spans="23:37" s="20" customFormat="1" x14ac:dyDescent="0.2">
      <c r="W73" s="109"/>
      <c r="AK73" s="100"/>
    </row>
    <row r="74" spans="23:37" s="20" customFormat="1" x14ac:dyDescent="0.2">
      <c r="W74" s="109"/>
      <c r="AK74" s="100"/>
    </row>
    <row r="75" spans="23:37" s="20" customFormat="1" x14ac:dyDescent="0.2">
      <c r="W75" s="109"/>
      <c r="AK75" s="100"/>
    </row>
    <row r="76" spans="23:37" s="20" customFormat="1" x14ac:dyDescent="0.2">
      <c r="W76" s="109"/>
      <c r="AK76" s="100"/>
    </row>
    <row r="77" spans="23:37" s="20" customFormat="1" x14ac:dyDescent="0.2">
      <c r="W77" s="109"/>
      <c r="AK77" s="100"/>
    </row>
    <row r="78" spans="23:37" s="20" customFormat="1" x14ac:dyDescent="0.2">
      <c r="AK78" s="100"/>
    </row>
    <row r="79" spans="23:37" s="20" customFormat="1" x14ac:dyDescent="0.2">
      <c r="AK79" s="100"/>
    </row>
    <row r="80" spans="23:37" s="20" customFormat="1" x14ac:dyDescent="0.2">
      <c r="AK80" s="100"/>
    </row>
    <row r="81" spans="1:37" s="20" customFormat="1" x14ac:dyDescent="0.2">
      <c r="AK81" s="100"/>
    </row>
    <row r="82" spans="1:37" s="20" customFormat="1" x14ac:dyDescent="0.2">
      <c r="AK82" s="100"/>
    </row>
    <row r="83" spans="1:37" s="20" customFormat="1" x14ac:dyDescent="0.2">
      <c r="AK83" s="100"/>
    </row>
    <row r="84" spans="1:37" s="20" customFormat="1" x14ac:dyDescent="0.2">
      <c r="AK84" s="100"/>
    </row>
    <row r="85" spans="1:37" s="20" customFormat="1" x14ac:dyDescent="0.2">
      <c r="AK85" s="100"/>
    </row>
    <row r="86" spans="1:37" s="20" customFormat="1" x14ac:dyDescent="0.2">
      <c r="AK86" s="100"/>
    </row>
    <row r="87" spans="1:37" s="20" customFormat="1" x14ac:dyDescent="0.2">
      <c r="AK87" s="100"/>
    </row>
    <row r="88" spans="1:37" x14ac:dyDescent="0.2">
      <c r="A88" s="20"/>
      <c r="B88" s="20"/>
      <c r="C88" s="20"/>
    </row>
  </sheetData>
  <mergeCells count="1">
    <mergeCell ref="A1:AJ1"/>
  </mergeCells>
  <pageMargins left="0.25" right="0.25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5581A-2156-4E17-8B9F-2FD0767FEDBE}">
  <sheetPr>
    <pageSetUpPr fitToPage="1"/>
  </sheetPr>
  <dimension ref="A1:T119"/>
  <sheetViews>
    <sheetView topLeftCell="A12" workbookViewId="0">
      <selection activeCell="U19" sqref="U19"/>
    </sheetView>
  </sheetViews>
  <sheetFormatPr defaultRowHeight="15" x14ac:dyDescent="0.2"/>
  <cols>
    <col min="1" max="1" width="18.44140625" bestFit="1" customWidth="1"/>
    <col min="2" max="2" width="10.77734375" hidden="1" customWidth="1"/>
    <col min="3" max="3" width="9.44140625" customWidth="1"/>
    <col min="4" max="4" width="23.88671875" hidden="1" customWidth="1"/>
    <col min="5" max="8" width="0" hidden="1" customWidth="1"/>
    <col min="9" max="9" width="11.88671875" hidden="1" customWidth="1"/>
    <col min="10" max="10" width="10.44140625" hidden="1" customWidth="1"/>
    <col min="11" max="11" width="11" hidden="1" customWidth="1"/>
    <col min="12" max="12" width="10.44140625" hidden="1" customWidth="1"/>
    <col min="13" max="13" width="10.44140625" style="12" customWidth="1"/>
    <col min="14" max="14" width="9.5546875" hidden="1" customWidth="1"/>
    <col min="15" max="15" width="9.5546875" customWidth="1"/>
    <col min="17" max="17" width="0" hidden="1" customWidth="1"/>
    <col min="18" max="18" width="11.109375" hidden="1" customWidth="1"/>
    <col min="19" max="19" width="10.44140625" hidden="1" customWidth="1"/>
    <col min="20" max="20" width="0" hidden="1" customWidth="1"/>
  </cols>
  <sheetData>
    <row r="1" spans="1:20" ht="18" x14ac:dyDescent="0.25">
      <c r="A1" s="29" t="s">
        <v>353</v>
      </c>
      <c r="M1"/>
    </row>
    <row r="2" spans="1:20" hidden="1" x14ac:dyDescent="0.2">
      <c r="A2" s="26" t="s">
        <v>294</v>
      </c>
      <c r="M2"/>
    </row>
    <row r="3" spans="1:20" hidden="1" x14ac:dyDescent="0.2">
      <c r="A3" s="26" t="s">
        <v>295</v>
      </c>
      <c r="M3"/>
    </row>
    <row r="4" spans="1:20" hidden="1" x14ac:dyDescent="0.2">
      <c r="A4" s="26"/>
      <c r="M4"/>
    </row>
    <row r="5" spans="1:20" ht="15.75" hidden="1" x14ac:dyDescent="0.25">
      <c r="A5" s="26" t="s">
        <v>339</v>
      </c>
      <c r="M5"/>
    </row>
    <row r="6" spans="1:20" hidden="1" x14ac:dyDescent="0.2">
      <c r="A6" s="26"/>
      <c r="M6"/>
    </row>
    <row r="7" spans="1:20" ht="15.75" hidden="1" x14ac:dyDescent="0.25">
      <c r="A7" s="26" t="s">
        <v>319</v>
      </c>
      <c r="H7" s="3" t="s">
        <v>308</v>
      </c>
      <c r="I7" s="2" t="s">
        <v>226</v>
      </c>
      <c r="M7"/>
    </row>
    <row r="8" spans="1:20" ht="15.75" hidden="1" x14ac:dyDescent="0.25">
      <c r="A8" s="26"/>
      <c r="H8" t="s">
        <v>321</v>
      </c>
      <c r="I8" s="4">
        <v>1620</v>
      </c>
      <c r="M8"/>
    </row>
    <row r="9" spans="1:20" hidden="1" x14ac:dyDescent="0.2">
      <c r="A9" s="26"/>
      <c r="M9"/>
    </row>
    <row r="10" spans="1:20" x14ac:dyDescent="0.2">
      <c r="A10" s="26"/>
      <c r="M10"/>
      <c r="R10" t="s">
        <v>341</v>
      </c>
    </row>
    <row r="11" spans="1:20" ht="75" x14ac:dyDescent="0.2">
      <c r="A11" s="39" t="s">
        <v>0</v>
      </c>
      <c r="B11" s="30" t="s">
        <v>1</v>
      </c>
      <c r="C11" s="31" t="s">
        <v>300</v>
      </c>
      <c r="D11" s="32" t="s">
        <v>2</v>
      </c>
      <c r="E11" s="32" t="s">
        <v>3</v>
      </c>
      <c r="F11" s="32" t="s">
        <v>4</v>
      </c>
      <c r="G11" s="31" t="s">
        <v>299</v>
      </c>
      <c r="H11" s="32" t="s">
        <v>5</v>
      </c>
      <c r="I11" s="31" t="s">
        <v>219</v>
      </c>
      <c r="J11" s="31" t="s">
        <v>216</v>
      </c>
      <c r="K11" s="31" t="s">
        <v>217</v>
      </c>
      <c r="L11" s="31" t="s">
        <v>218</v>
      </c>
      <c r="M11" s="40" t="s">
        <v>354</v>
      </c>
      <c r="N11" s="31" t="s">
        <v>304</v>
      </c>
      <c r="O11" s="31" t="s">
        <v>336</v>
      </c>
      <c r="R11" s="40" t="s">
        <v>340</v>
      </c>
      <c r="S11" s="40" t="s">
        <v>342</v>
      </c>
    </row>
    <row r="12" spans="1:20" ht="15.75" x14ac:dyDescent="0.25">
      <c r="A12" s="27"/>
      <c r="H12" s="24"/>
      <c r="K12" s="12"/>
      <c r="M12"/>
    </row>
    <row r="13" spans="1:20" ht="15.75" x14ac:dyDescent="0.25">
      <c r="A13" s="27" t="s">
        <v>334</v>
      </c>
      <c r="H13" s="24"/>
      <c r="K13" s="12"/>
      <c r="M13"/>
    </row>
    <row r="14" spans="1:20" ht="15.75" x14ac:dyDescent="0.25">
      <c r="A14" s="27">
        <v>2</v>
      </c>
      <c r="B14" t="s">
        <v>118</v>
      </c>
      <c r="C14" s="1">
        <v>165</v>
      </c>
      <c r="D14" s="5">
        <v>305.20999999999998</v>
      </c>
      <c r="E14">
        <v>19.04</v>
      </c>
      <c r="F14">
        <v>15.27</v>
      </c>
      <c r="G14" s="5">
        <v>39.08</v>
      </c>
      <c r="H14" s="24" t="s">
        <v>119</v>
      </c>
      <c r="I14" s="1">
        <f t="shared" ref="I14:I27" si="0">SUM(G14*$I$8)</f>
        <v>63309.599999999999</v>
      </c>
      <c r="J14" s="1">
        <f t="shared" ref="J14:J27" si="1">SUM(I14*5%)</f>
        <v>3165.48</v>
      </c>
      <c r="K14" s="14">
        <f t="shared" ref="K14:K27" si="2">SUM(J14/12)</f>
        <v>263.79000000000002</v>
      </c>
      <c r="L14" s="1">
        <f t="shared" ref="L14:L22" si="3">SUM(C14*1.2)</f>
        <v>198</v>
      </c>
      <c r="M14" s="2">
        <f>SUM(C14+10)</f>
        <v>175</v>
      </c>
      <c r="N14" s="5">
        <f t="shared" ref="N14:N27" si="4">SUM(M14/C14*100)-100</f>
        <v>6.06</v>
      </c>
      <c r="O14" s="5">
        <f>SUM(Tabuľka12[[#This Row],[Stĺpec13]]-Tabuľka12[[#This Row],[Stĺpec3]])</f>
        <v>10</v>
      </c>
      <c r="R14" s="7">
        <f>Tabuľka12[[#This Row],[Stĺpec13]]*1.2</f>
        <v>210</v>
      </c>
      <c r="S14" s="6">
        <f>R14*1.2</f>
        <v>252</v>
      </c>
      <c r="T14" s="6"/>
    </row>
    <row r="15" spans="1:20" ht="15.75" x14ac:dyDescent="0.25">
      <c r="A15" s="27">
        <v>3</v>
      </c>
      <c r="B15" t="s">
        <v>120</v>
      </c>
      <c r="C15" s="1">
        <v>150</v>
      </c>
      <c r="D15" s="5">
        <v>241.56</v>
      </c>
      <c r="E15">
        <v>19.64</v>
      </c>
      <c r="F15">
        <v>14.72</v>
      </c>
      <c r="G15" s="5">
        <v>39.130000000000003</v>
      </c>
      <c r="H15" s="24" t="s">
        <v>57</v>
      </c>
      <c r="I15" s="1">
        <f t="shared" si="0"/>
        <v>63390.6</v>
      </c>
      <c r="J15" s="1">
        <f t="shared" si="1"/>
        <v>3169.53</v>
      </c>
      <c r="K15" s="14">
        <f t="shared" si="2"/>
        <v>264.13</v>
      </c>
      <c r="L15" s="1">
        <f t="shared" si="3"/>
        <v>180</v>
      </c>
      <c r="M15" s="2">
        <f>SUM(C15+10)</f>
        <v>160</v>
      </c>
      <c r="N15" s="5">
        <f t="shared" si="4"/>
        <v>6.67</v>
      </c>
      <c r="O15" s="5">
        <f>SUM(Tabuľka12[[#This Row],[Stĺpec13]]-Tabuľka12[[#This Row],[Stĺpec3]])</f>
        <v>10</v>
      </c>
      <c r="R15" s="7">
        <f>Tabuľka12[[#This Row],[Stĺpec13]]*1.2</f>
        <v>192</v>
      </c>
      <c r="S15" s="6">
        <f t="shared" ref="S15:S42" si="5">R15*1.2</f>
        <v>230.4</v>
      </c>
    </row>
    <row r="16" spans="1:20" ht="15.75" x14ac:dyDescent="0.25">
      <c r="A16" s="27">
        <v>4</v>
      </c>
      <c r="B16" t="s">
        <v>121</v>
      </c>
      <c r="C16" s="1">
        <v>165</v>
      </c>
      <c r="D16" s="5">
        <v>239.9</v>
      </c>
      <c r="E16">
        <v>19.64</v>
      </c>
      <c r="F16">
        <v>15.12</v>
      </c>
      <c r="G16" s="5">
        <v>39.53</v>
      </c>
      <c r="H16" s="24" t="s">
        <v>57</v>
      </c>
      <c r="I16" s="1">
        <f t="shared" si="0"/>
        <v>64038.6</v>
      </c>
      <c r="J16" s="1">
        <f t="shared" si="1"/>
        <v>3201.93</v>
      </c>
      <c r="K16" s="14">
        <f t="shared" si="2"/>
        <v>266.83</v>
      </c>
      <c r="L16" s="1">
        <f t="shared" si="3"/>
        <v>198</v>
      </c>
      <c r="M16" s="2">
        <f>SUM(C16+10)</f>
        <v>175</v>
      </c>
      <c r="N16" s="5">
        <f t="shared" si="4"/>
        <v>6.06</v>
      </c>
      <c r="O16" s="5">
        <f>SUM(Tabuľka12[[#This Row],[Stĺpec13]]-Tabuľka12[[#This Row],[Stĺpec3]])</f>
        <v>10</v>
      </c>
      <c r="R16" s="7">
        <f>Tabuľka12[[#This Row],[Stĺpec13]]*1.2</f>
        <v>210</v>
      </c>
      <c r="S16" s="6">
        <f t="shared" si="5"/>
        <v>252</v>
      </c>
    </row>
    <row r="17" spans="1:19" ht="15.75" x14ac:dyDescent="0.25">
      <c r="A17" s="27">
        <v>5</v>
      </c>
      <c r="B17" t="s">
        <v>122</v>
      </c>
      <c r="C17" s="1">
        <v>220</v>
      </c>
      <c r="D17" s="5">
        <v>355.44</v>
      </c>
      <c r="E17">
        <v>34.299999999999997</v>
      </c>
      <c r="F17">
        <v>15.1</v>
      </c>
      <c r="G17" s="5">
        <v>54.17</v>
      </c>
      <c r="H17" s="24" t="s">
        <v>59</v>
      </c>
      <c r="I17" s="1">
        <f t="shared" si="0"/>
        <v>87755.4</v>
      </c>
      <c r="J17" s="1">
        <f t="shared" si="1"/>
        <v>4387.7700000000004</v>
      </c>
      <c r="K17" s="14">
        <f t="shared" si="2"/>
        <v>365.65</v>
      </c>
      <c r="L17" s="1">
        <f t="shared" si="3"/>
        <v>264</v>
      </c>
      <c r="M17" s="2">
        <f>SUM(C17+15)</f>
        <v>235</v>
      </c>
      <c r="N17" s="5">
        <f t="shared" si="4"/>
        <v>6.82</v>
      </c>
      <c r="O17" s="5">
        <f>SUM(Tabuľka12[[#This Row],[Stĺpec13]]-Tabuľka12[[#This Row],[Stĺpec3]])</f>
        <v>15</v>
      </c>
      <c r="R17" s="7">
        <f>Tabuľka12[[#This Row],[Stĺpec13]]*1.2</f>
        <v>282</v>
      </c>
      <c r="S17" s="6">
        <f t="shared" si="5"/>
        <v>338.4</v>
      </c>
    </row>
    <row r="18" spans="1:19" ht="15.75" x14ac:dyDescent="0.25">
      <c r="A18" s="27">
        <v>6</v>
      </c>
      <c r="B18" t="s">
        <v>123</v>
      </c>
      <c r="C18" s="1">
        <v>150</v>
      </c>
      <c r="D18" s="5">
        <v>262</v>
      </c>
      <c r="E18">
        <v>19.64</v>
      </c>
      <c r="F18">
        <v>14.72</v>
      </c>
      <c r="G18" s="5">
        <v>39.130000000000003</v>
      </c>
      <c r="H18" s="24" t="s">
        <v>57</v>
      </c>
      <c r="I18" s="1">
        <f t="shared" si="0"/>
        <v>63390.6</v>
      </c>
      <c r="J18" s="1">
        <f t="shared" si="1"/>
        <v>3169.53</v>
      </c>
      <c r="K18" s="14">
        <f t="shared" si="2"/>
        <v>264.13</v>
      </c>
      <c r="L18" s="1">
        <f t="shared" si="3"/>
        <v>180</v>
      </c>
      <c r="M18" s="2">
        <f>SUM(C18+10)</f>
        <v>160</v>
      </c>
      <c r="N18" s="5">
        <f t="shared" si="4"/>
        <v>6.67</v>
      </c>
      <c r="O18" s="5">
        <f>SUM(Tabuľka12[[#This Row],[Stĺpec13]]-Tabuľka12[[#This Row],[Stĺpec3]])</f>
        <v>10</v>
      </c>
      <c r="R18" s="7">
        <f>Tabuľka12[[#This Row],[Stĺpec13]]*1.2</f>
        <v>192</v>
      </c>
      <c r="S18" s="6">
        <f t="shared" si="5"/>
        <v>230.4</v>
      </c>
    </row>
    <row r="19" spans="1:19" ht="15.75" x14ac:dyDescent="0.25">
      <c r="A19" s="27">
        <v>7</v>
      </c>
      <c r="B19" t="s">
        <v>124</v>
      </c>
      <c r="C19" s="1">
        <v>150</v>
      </c>
      <c r="D19" s="5">
        <v>274.76</v>
      </c>
      <c r="E19">
        <v>19.64</v>
      </c>
      <c r="F19">
        <v>14.72</v>
      </c>
      <c r="G19" s="5">
        <v>39.130000000000003</v>
      </c>
      <c r="H19" s="24" t="s">
        <v>57</v>
      </c>
      <c r="I19" s="1">
        <f t="shared" si="0"/>
        <v>63390.6</v>
      </c>
      <c r="J19" s="1">
        <f t="shared" si="1"/>
        <v>3169.53</v>
      </c>
      <c r="K19" s="14">
        <f t="shared" si="2"/>
        <v>264.13</v>
      </c>
      <c r="L19" s="1">
        <f t="shared" si="3"/>
        <v>180</v>
      </c>
      <c r="M19" s="2">
        <f>SUM(C19+10)</f>
        <v>160</v>
      </c>
      <c r="N19" s="5">
        <f t="shared" si="4"/>
        <v>6.67</v>
      </c>
      <c r="O19" s="5">
        <f>SUM(Tabuľka12[[#This Row],[Stĺpec13]]-Tabuľka12[[#This Row],[Stĺpec3]])</f>
        <v>10</v>
      </c>
      <c r="R19" s="7">
        <f>Tabuľka12[[#This Row],[Stĺpec13]]*1.2</f>
        <v>192</v>
      </c>
      <c r="S19" s="6">
        <f t="shared" si="5"/>
        <v>230.4</v>
      </c>
    </row>
    <row r="20" spans="1:19" ht="15.75" x14ac:dyDescent="0.25">
      <c r="A20" s="27">
        <v>8</v>
      </c>
      <c r="B20" t="s">
        <v>125</v>
      </c>
      <c r="C20" s="1">
        <v>165</v>
      </c>
      <c r="D20" s="5">
        <v>248.28</v>
      </c>
      <c r="E20">
        <v>19.64</v>
      </c>
      <c r="F20">
        <v>15.12</v>
      </c>
      <c r="G20" s="5">
        <v>39.53</v>
      </c>
      <c r="H20" s="24" t="s">
        <v>57</v>
      </c>
      <c r="I20" s="1">
        <f t="shared" si="0"/>
        <v>64038.6</v>
      </c>
      <c r="J20" s="1">
        <f t="shared" si="1"/>
        <v>3201.93</v>
      </c>
      <c r="K20" s="14">
        <f t="shared" si="2"/>
        <v>266.83</v>
      </c>
      <c r="L20" s="1">
        <f t="shared" si="3"/>
        <v>198</v>
      </c>
      <c r="M20" s="2">
        <f>SUM(C20+10)</f>
        <v>175</v>
      </c>
      <c r="N20" s="5">
        <f t="shared" si="4"/>
        <v>6.06</v>
      </c>
      <c r="O20" s="5">
        <f>SUM(Tabuľka12[[#This Row],[Stĺpec13]]-Tabuľka12[[#This Row],[Stĺpec3]])</f>
        <v>10</v>
      </c>
      <c r="R20" s="7">
        <f>Tabuľka12[[#This Row],[Stĺpec13]]*1.2</f>
        <v>210</v>
      </c>
      <c r="S20" s="6">
        <f t="shared" si="5"/>
        <v>252</v>
      </c>
    </row>
    <row r="21" spans="1:19" ht="15.75" x14ac:dyDescent="0.25">
      <c r="A21" s="27">
        <v>9</v>
      </c>
      <c r="B21" t="s">
        <v>126</v>
      </c>
      <c r="C21" s="1">
        <v>220</v>
      </c>
      <c r="D21" s="5">
        <v>352.52</v>
      </c>
      <c r="E21">
        <v>34.299999999999997</v>
      </c>
      <c r="F21">
        <v>15.1</v>
      </c>
      <c r="G21" s="5">
        <v>54.17</v>
      </c>
      <c r="H21" s="24" t="s">
        <v>59</v>
      </c>
      <c r="I21" s="1">
        <f t="shared" si="0"/>
        <v>87755.4</v>
      </c>
      <c r="J21" s="1">
        <f t="shared" si="1"/>
        <v>4387.7700000000004</v>
      </c>
      <c r="K21" s="14">
        <f t="shared" si="2"/>
        <v>365.65</v>
      </c>
      <c r="L21" s="1">
        <f t="shared" si="3"/>
        <v>264</v>
      </c>
      <c r="M21" s="2">
        <f>SUM(C21+15)</f>
        <v>235</v>
      </c>
      <c r="N21" s="5">
        <f t="shared" si="4"/>
        <v>6.82</v>
      </c>
      <c r="O21" s="5">
        <f>SUM(Tabuľka12[[#This Row],[Stĺpec13]]-Tabuľka12[[#This Row],[Stĺpec3]])</f>
        <v>15</v>
      </c>
      <c r="R21" s="7">
        <f>Tabuľka12[[#This Row],[Stĺpec13]]*1.2</f>
        <v>282</v>
      </c>
      <c r="S21" s="6">
        <f t="shared" si="5"/>
        <v>338.4</v>
      </c>
    </row>
    <row r="22" spans="1:19" ht="15.75" x14ac:dyDescent="0.25">
      <c r="A22" s="27">
        <v>10</v>
      </c>
      <c r="B22" t="s">
        <v>127</v>
      </c>
      <c r="C22" s="1">
        <v>150</v>
      </c>
      <c r="D22" s="5">
        <v>301.94</v>
      </c>
      <c r="E22">
        <v>19.64</v>
      </c>
      <c r="F22">
        <v>14.72</v>
      </c>
      <c r="G22" s="5">
        <v>39.130000000000003</v>
      </c>
      <c r="H22" s="24" t="s">
        <v>57</v>
      </c>
      <c r="I22" s="1">
        <f t="shared" si="0"/>
        <v>63390.6</v>
      </c>
      <c r="J22" s="1">
        <f t="shared" si="1"/>
        <v>3169.53</v>
      </c>
      <c r="K22" s="14">
        <f t="shared" si="2"/>
        <v>264.13</v>
      </c>
      <c r="L22" s="1">
        <f t="shared" si="3"/>
        <v>180</v>
      </c>
      <c r="M22" s="2">
        <f>SUM(C22+10)</f>
        <v>160</v>
      </c>
      <c r="N22" s="5">
        <f t="shared" si="4"/>
        <v>6.67</v>
      </c>
      <c r="O22" s="5">
        <f>SUM(Tabuľka12[[#This Row],[Stĺpec13]]-Tabuľka12[[#This Row],[Stĺpec3]])</f>
        <v>10</v>
      </c>
      <c r="R22" s="7">
        <f>Tabuľka12[[#This Row],[Stĺpec13]]*1.2</f>
        <v>192</v>
      </c>
      <c r="S22" s="6">
        <f t="shared" si="5"/>
        <v>230.4</v>
      </c>
    </row>
    <row r="23" spans="1:19" ht="15.75" x14ac:dyDescent="0.25">
      <c r="A23" s="27">
        <v>11</v>
      </c>
      <c r="B23" t="s">
        <v>128</v>
      </c>
      <c r="C23" s="1">
        <v>150</v>
      </c>
      <c r="D23" s="5">
        <v>247.68</v>
      </c>
      <c r="E23">
        <v>19.64</v>
      </c>
      <c r="F23">
        <v>14.72</v>
      </c>
      <c r="G23" s="5">
        <v>39.130000000000003</v>
      </c>
      <c r="H23" s="24" t="s">
        <v>57</v>
      </c>
      <c r="I23" s="1">
        <f t="shared" si="0"/>
        <v>63390.6</v>
      </c>
      <c r="J23" s="1">
        <f t="shared" si="1"/>
        <v>3169.53</v>
      </c>
      <c r="K23" s="14">
        <f t="shared" si="2"/>
        <v>264.13</v>
      </c>
      <c r="L23" s="1">
        <f t="shared" ref="L23:L27" si="6">SUM(C23*1.2)</f>
        <v>180</v>
      </c>
      <c r="M23" s="2">
        <f>SUM(C23+10)</f>
        <v>160</v>
      </c>
      <c r="N23" s="5">
        <f t="shared" si="4"/>
        <v>6.67</v>
      </c>
      <c r="O23" s="5">
        <f>SUM(Tabuľka12[[#This Row],[Stĺpec13]]-Tabuľka12[[#This Row],[Stĺpec3]])</f>
        <v>10</v>
      </c>
      <c r="R23" s="7">
        <f>Tabuľka12[[#This Row],[Stĺpec13]]*1.2</f>
        <v>192</v>
      </c>
      <c r="S23" s="6">
        <f t="shared" si="5"/>
        <v>230.4</v>
      </c>
    </row>
    <row r="24" spans="1:19" ht="15.75" x14ac:dyDescent="0.25">
      <c r="A24" s="27">
        <v>12</v>
      </c>
      <c r="B24" t="s">
        <v>129</v>
      </c>
      <c r="C24" s="1">
        <v>165</v>
      </c>
      <c r="D24" s="5">
        <v>293.82</v>
      </c>
      <c r="E24">
        <v>28.72</v>
      </c>
      <c r="F24">
        <v>3.83</v>
      </c>
      <c r="G24" s="5">
        <v>39.53</v>
      </c>
      <c r="H24" s="24" t="s">
        <v>9</v>
      </c>
      <c r="I24" s="1">
        <f t="shared" si="0"/>
        <v>64038.6</v>
      </c>
      <c r="J24" s="1">
        <f t="shared" si="1"/>
        <v>3201.93</v>
      </c>
      <c r="K24" s="14">
        <f t="shared" si="2"/>
        <v>266.83</v>
      </c>
      <c r="L24" s="1">
        <f t="shared" si="6"/>
        <v>198</v>
      </c>
      <c r="M24" s="2">
        <f>SUM(C24+10)</f>
        <v>175</v>
      </c>
      <c r="N24" s="5">
        <f t="shared" si="4"/>
        <v>6.06</v>
      </c>
      <c r="O24" s="5">
        <f>SUM(Tabuľka12[[#This Row],[Stĺpec13]]-Tabuľka12[[#This Row],[Stĺpec3]])</f>
        <v>10</v>
      </c>
      <c r="R24" s="7">
        <f>Tabuľka12[[#This Row],[Stĺpec13]]*1.2</f>
        <v>210</v>
      </c>
      <c r="S24" s="6">
        <f t="shared" si="5"/>
        <v>252</v>
      </c>
    </row>
    <row r="25" spans="1:19" ht="15.75" x14ac:dyDescent="0.25">
      <c r="A25" s="27">
        <v>13</v>
      </c>
      <c r="B25" t="s">
        <v>130</v>
      </c>
      <c r="C25" s="1">
        <v>220</v>
      </c>
      <c r="D25" s="5">
        <v>364.69</v>
      </c>
      <c r="E25">
        <v>34.299999999999997</v>
      </c>
      <c r="F25">
        <v>15.1</v>
      </c>
      <c r="G25" s="5">
        <v>54.17</v>
      </c>
      <c r="H25" s="24" t="s">
        <v>59</v>
      </c>
      <c r="I25" s="1">
        <f t="shared" si="0"/>
        <v>87755.4</v>
      </c>
      <c r="J25" s="1">
        <f t="shared" si="1"/>
        <v>4387.7700000000004</v>
      </c>
      <c r="K25" s="14">
        <f t="shared" si="2"/>
        <v>365.65</v>
      </c>
      <c r="L25" s="1">
        <f t="shared" si="6"/>
        <v>264</v>
      </c>
      <c r="M25" s="2">
        <f>SUM(C25+15)</f>
        <v>235</v>
      </c>
      <c r="N25" s="5">
        <f t="shared" si="4"/>
        <v>6.82</v>
      </c>
      <c r="O25" s="5">
        <f>SUM(Tabuľka12[[#This Row],[Stĺpec13]]-Tabuľka12[[#This Row],[Stĺpec3]])</f>
        <v>15</v>
      </c>
      <c r="R25" s="7">
        <f>Tabuľka12[[#This Row],[Stĺpec13]]*1.2</f>
        <v>282</v>
      </c>
      <c r="S25" s="6">
        <f t="shared" si="5"/>
        <v>338.4</v>
      </c>
    </row>
    <row r="26" spans="1:19" ht="15.75" x14ac:dyDescent="0.25">
      <c r="A26" s="27">
        <v>14</v>
      </c>
      <c r="B26" t="s">
        <v>131</v>
      </c>
      <c r="C26" s="1">
        <v>150</v>
      </c>
      <c r="D26" s="5">
        <v>316.88</v>
      </c>
      <c r="E26">
        <v>19.64</v>
      </c>
      <c r="F26">
        <v>14.72</v>
      </c>
      <c r="G26" s="5">
        <v>39.130000000000003</v>
      </c>
      <c r="H26" s="24" t="s">
        <v>57</v>
      </c>
      <c r="I26" s="1">
        <f t="shared" si="0"/>
        <v>63390.6</v>
      </c>
      <c r="J26" s="1">
        <f t="shared" si="1"/>
        <v>3169.53</v>
      </c>
      <c r="K26" s="14">
        <f t="shared" si="2"/>
        <v>264.13</v>
      </c>
      <c r="L26" s="1">
        <f t="shared" si="6"/>
        <v>180</v>
      </c>
      <c r="M26" s="2">
        <f>SUM(C26+10)</f>
        <v>160</v>
      </c>
      <c r="N26" s="5">
        <f t="shared" si="4"/>
        <v>6.67</v>
      </c>
      <c r="O26" s="5">
        <f>SUM(Tabuľka12[[#This Row],[Stĺpec13]]-Tabuľka12[[#This Row],[Stĺpec3]])</f>
        <v>10</v>
      </c>
      <c r="R26" s="7">
        <f>Tabuľka12[[#This Row],[Stĺpec13]]*1.2</f>
        <v>192</v>
      </c>
      <c r="S26" s="6">
        <f t="shared" si="5"/>
        <v>230.4</v>
      </c>
    </row>
    <row r="27" spans="1:19" ht="15.75" x14ac:dyDescent="0.25">
      <c r="A27" s="27">
        <v>15</v>
      </c>
      <c r="B27" t="s">
        <v>132</v>
      </c>
      <c r="C27" s="1">
        <v>130</v>
      </c>
      <c r="D27" s="5">
        <v>244.06</v>
      </c>
      <c r="E27">
        <v>19.04</v>
      </c>
      <c r="F27">
        <v>13.7</v>
      </c>
      <c r="G27" s="5">
        <v>38.35</v>
      </c>
      <c r="H27" s="24" t="s">
        <v>57</v>
      </c>
      <c r="I27" s="1">
        <f t="shared" si="0"/>
        <v>62127</v>
      </c>
      <c r="J27" s="1">
        <f t="shared" si="1"/>
        <v>3106.35</v>
      </c>
      <c r="K27" s="14">
        <f t="shared" si="2"/>
        <v>258.86</v>
      </c>
      <c r="L27" s="1">
        <f t="shared" si="6"/>
        <v>156</v>
      </c>
      <c r="M27" s="2">
        <f>SUM(C27+10)</f>
        <v>140</v>
      </c>
      <c r="N27" s="5">
        <f t="shared" si="4"/>
        <v>7.69</v>
      </c>
      <c r="O27" s="5">
        <f>SUM(Tabuľka12[[#This Row],[Stĺpec13]]-Tabuľka12[[#This Row],[Stĺpec3]])</f>
        <v>10</v>
      </c>
      <c r="R27" s="7">
        <f>Tabuľka12[[#This Row],[Stĺpec13]]*1.2</f>
        <v>168</v>
      </c>
      <c r="S27" s="6">
        <f t="shared" si="5"/>
        <v>201.6</v>
      </c>
    </row>
    <row r="28" spans="1:19" ht="15.75" x14ac:dyDescent="0.25">
      <c r="A28" s="27"/>
      <c r="C28" s="1"/>
      <c r="D28" s="5"/>
      <c r="G28" s="5"/>
      <c r="H28" s="24"/>
      <c r="I28" s="1"/>
      <c r="J28" s="1"/>
      <c r="K28" s="14"/>
      <c r="L28" s="1"/>
      <c r="M28" s="2"/>
      <c r="N28" s="5"/>
      <c r="O28" s="5"/>
      <c r="R28" s="7"/>
      <c r="S28" s="6"/>
    </row>
    <row r="29" spans="1:19" ht="15.75" x14ac:dyDescent="0.25">
      <c r="A29" s="27" t="s">
        <v>335</v>
      </c>
      <c r="C29" s="1"/>
      <c r="D29" s="5"/>
      <c r="G29" s="5"/>
      <c r="H29" s="24"/>
      <c r="I29" s="1"/>
      <c r="J29" s="1"/>
      <c r="K29" s="14"/>
      <c r="L29" s="1"/>
      <c r="M29" s="2"/>
      <c r="N29" s="5"/>
      <c r="O29" s="5"/>
      <c r="R29" s="7"/>
      <c r="S29" s="6">
        <f t="shared" si="5"/>
        <v>0</v>
      </c>
    </row>
    <row r="30" spans="1:19" ht="15.75" x14ac:dyDescent="0.25">
      <c r="A30" s="27">
        <v>1</v>
      </c>
      <c r="B30" t="s">
        <v>105</v>
      </c>
      <c r="C30" s="1">
        <v>150</v>
      </c>
      <c r="D30" s="5">
        <v>269.26</v>
      </c>
      <c r="E30">
        <v>19.04</v>
      </c>
      <c r="F30">
        <v>13.06</v>
      </c>
      <c r="G30" s="5">
        <v>36.869999999999997</v>
      </c>
      <c r="H30" s="24" t="s">
        <v>57</v>
      </c>
      <c r="I30" s="1">
        <f t="shared" ref="I30:I42" si="7">SUM(G30*$I$8)</f>
        <v>59729.4</v>
      </c>
      <c r="J30" s="1">
        <f>SUM(I30*5%)</f>
        <v>2986.47</v>
      </c>
      <c r="K30" s="14">
        <f>SUM(J30/12)</f>
        <v>248.87</v>
      </c>
      <c r="L30" s="1">
        <f>SUM(C30*1.2)</f>
        <v>180</v>
      </c>
      <c r="M30" s="2">
        <f>SUM(C30+10)</f>
        <v>160</v>
      </c>
      <c r="N30" s="5">
        <f t="shared" ref="N30:N43" si="8">SUM(M30/C30*100)-100</f>
        <v>6.67</v>
      </c>
      <c r="O30" s="1">
        <f>SUM(Tabuľka13[[#This Row],[Stĺpec13]]-Tabuľka13[[#This Row],[Stĺpec3]])</f>
        <v>10</v>
      </c>
      <c r="R30" s="7">
        <f>Tabuľka13[[#This Row],[Stĺpec13]]*1.2</f>
        <v>192</v>
      </c>
      <c r="S30" s="6">
        <f t="shared" si="5"/>
        <v>230.4</v>
      </c>
    </row>
    <row r="31" spans="1:19" ht="15.75" x14ac:dyDescent="0.25">
      <c r="A31" s="27">
        <v>3</v>
      </c>
      <c r="B31" t="s">
        <v>106</v>
      </c>
      <c r="C31" s="1">
        <v>150</v>
      </c>
      <c r="D31" s="5">
        <v>295.27</v>
      </c>
      <c r="E31">
        <v>19.64</v>
      </c>
      <c r="F31">
        <v>14.72</v>
      </c>
      <c r="G31" s="5">
        <v>39.130000000000003</v>
      </c>
      <c r="H31" s="24" t="s">
        <v>57</v>
      </c>
      <c r="I31" s="1">
        <f t="shared" si="7"/>
        <v>63390.6</v>
      </c>
      <c r="J31" s="1">
        <f t="shared" ref="J31:J42" si="9">SUM(I31*5%)</f>
        <v>3169.53</v>
      </c>
      <c r="K31" s="14">
        <f t="shared" ref="K31:K42" si="10">SUM(J31/12)</f>
        <v>264.13</v>
      </c>
      <c r="L31" s="1">
        <f t="shared" ref="L31:L42" si="11">SUM(C31*1.2)</f>
        <v>180</v>
      </c>
      <c r="M31" s="2">
        <f>SUM(C31+10)</f>
        <v>160</v>
      </c>
      <c r="N31" s="5">
        <f t="shared" si="8"/>
        <v>6.67</v>
      </c>
      <c r="O31" s="1">
        <f>SUM(Tabuľka13[[#This Row],[Stĺpec13]]-Tabuľka13[[#This Row],[Stĺpec3]])</f>
        <v>10</v>
      </c>
      <c r="R31" s="7">
        <f>Tabuľka13[[#This Row],[Stĺpec13]]*1.2</f>
        <v>192</v>
      </c>
      <c r="S31" s="6">
        <f t="shared" si="5"/>
        <v>230.4</v>
      </c>
    </row>
    <row r="32" spans="1:19" ht="15.75" x14ac:dyDescent="0.25">
      <c r="A32" s="27">
        <v>4</v>
      </c>
      <c r="B32" t="s">
        <v>107</v>
      </c>
      <c r="C32" s="1">
        <v>165</v>
      </c>
      <c r="D32" s="5">
        <v>274.69</v>
      </c>
      <c r="E32">
        <v>19.64</v>
      </c>
      <c r="F32">
        <v>15.12</v>
      </c>
      <c r="G32" s="5">
        <v>39.53</v>
      </c>
      <c r="H32" s="24" t="s">
        <v>57</v>
      </c>
      <c r="I32" s="1">
        <f t="shared" si="7"/>
        <v>64038.6</v>
      </c>
      <c r="J32" s="1">
        <f t="shared" si="9"/>
        <v>3201.93</v>
      </c>
      <c r="K32" s="14">
        <f t="shared" si="10"/>
        <v>266.83</v>
      </c>
      <c r="L32" s="1">
        <f t="shared" si="11"/>
        <v>198</v>
      </c>
      <c r="M32" s="2">
        <f>SUM(C32+10)</f>
        <v>175</v>
      </c>
      <c r="N32" s="5">
        <f t="shared" si="8"/>
        <v>6.06</v>
      </c>
      <c r="O32" s="1">
        <f>SUM(Tabuľka13[[#This Row],[Stĺpec13]]-Tabuľka13[[#This Row],[Stĺpec3]])</f>
        <v>10</v>
      </c>
      <c r="R32" s="7">
        <f>Tabuľka13[[#This Row],[Stĺpec13]]*1.2</f>
        <v>210</v>
      </c>
      <c r="S32" s="6">
        <f t="shared" si="5"/>
        <v>252</v>
      </c>
    </row>
    <row r="33" spans="1:19" ht="15.75" x14ac:dyDescent="0.25">
      <c r="A33" s="27">
        <v>5</v>
      </c>
      <c r="B33" t="s">
        <v>108</v>
      </c>
      <c r="C33" s="1">
        <v>220</v>
      </c>
      <c r="D33" s="5">
        <v>347.32</v>
      </c>
      <c r="E33">
        <v>34.299999999999997</v>
      </c>
      <c r="F33">
        <v>15.1</v>
      </c>
      <c r="G33" s="5">
        <v>54.17</v>
      </c>
      <c r="H33" s="24" t="s">
        <v>59</v>
      </c>
      <c r="I33" s="1">
        <f t="shared" si="7"/>
        <v>87755.4</v>
      </c>
      <c r="J33" s="1">
        <f t="shared" si="9"/>
        <v>4387.7700000000004</v>
      </c>
      <c r="K33" s="14">
        <f t="shared" si="10"/>
        <v>365.65</v>
      </c>
      <c r="L33" s="1">
        <f t="shared" si="11"/>
        <v>264</v>
      </c>
      <c r="M33" s="2">
        <f>SUM(C33+15)</f>
        <v>235</v>
      </c>
      <c r="N33" s="5">
        <f t="shared" si="8"/>
        <v>6.82</v>
      </c>
      <c r="O33" s="1">
        <f>SUM(Tabuľka13[[#This Row],[Stĺpec13]]-Tabuľka13[[#This Row],[Stĺpec3]])</f>
        <v>15</v>
      </c>
      <c r="R33" s="7">
        <f>Tabuľka13[[#This Row],[Stĺpec13]]*1.2</f>
        <v>282</v>
      </c>
      <c r="S33" s="6">
        <f t="shared" si="5"/>
        <v>338.4</v>
      </c>
    </row>
    <row r="34" spans="1:19" ht="15.75" x14ac:dyDescent="0.25">
      <c r="A34" s="27">
        <v>6</v>
      </c>
      <c r="B34" t="s">
        <v>109</v>
      </c>
      <c r="C34" s="1">
        <v>150</v>
      </c>
      <c r="D34" s="5">
        <v>303.56</v>
      </c>
      <c r="E34">
        <v>19.64</v>
      </c>
      <c r="F34">
        <v>14.72</v>
      </c>
      <c r="G34" s="5">
        <v>39.130000000000003</v>
      </c>
      <c r="H34" s="24" t="s">
        <v>57</v>
      </c>
      <c r="I34" s="1">
        <f t="shared" si="7"/>
        <v>63390.6</v>
      </c>
      <c r="J34" s="1">
        <f t="shared" si="9"/>
        <v>3169.53</v>
      </c>
      <c r="K34" s="14">
        <f t="shared" si="10"/>
        <v>264.13</v>
      </c>
      <c r="L34" s="1">
        <f t="shared" si="11"/>
        <v>180</v>
      </c>
      <c r="M34" s="2">
        <f>SUM(C34+10)</f>
        <v>160</v>
      </c>
      <c r="N34" s="5">
        <f t="shared" si="8"/>
        <v>6.67</v>
      </c>
      <c r="O34" s="1">
        <f>SUM(Tabuľka13[[#This Row],[Stĺpec13]]-Tabuľka13[[#This Row],[Stĺpec3]])</f>
        <v>10</v>
      </c>
      <c r="R34" s="7">
        <f>Tabuľka13[[#This Row],[Stĺpec13]]*1.2</f>
        <v>192</v>
      </c>
      <c r="S34" s="6">
        <f t="shared" si="5"/>
        <v>230.4</v>
      </c>
    </row>
    <row r="35" spans="1:19" ht="15.75" x14ac:dyDescent="0.25">
      <c r="A35" s="27">
        <v>7</v>
      </c>
      <c r="B35" t="s">
        <v>110</v>
      </c>
      <c r="C35" s="1">
        <v>150</v>
      </c>
      <c r="D35" s="5">
        <v>241.92</v>
      </c>
      <c r="E35">
        <v>19.64</v>
      </c>
      <c r="F35">
        <v>14.72</v>
      </c>
      <c r="G35" s="5">
        <v>39.130000000000003</v>
      </c>
      <c r="H35" s="24" t="s">
        <v>57</v>
      </c>
      <c r="I35" s="1">
        <f t="shared" si="7"/>
        <v>63390.6</v>
      </c>
      <c r="J35" s="1">
        <f t="shared" si="9"/>
        <v>3169.53</v>
      </c>
      <c r="K35" s="14">
        <f t="shared" si="10"/>
        <v>264.13</v>
      </c>
      <c r="L35" s="1">
        <f t="shared" si="11"/>
        <v>180</v>
      </c>
      <c r="M35" s="2">
        <f>SUM(C35+10)</f>
        <v>160</v>
      </c>
      <c r="N35" s="5">
        <f t="shared" si="8"/>
        <v>6.67</v>
      </c>
      <c r="O35" s="1">
        <f>SUM(Tabuľka13[[#This Row],[Stĺpec13]]-Tabuľka13[[#This Row],[Stĺpec3]])</f>
        <v>10</v>
      </c>
      <c r="R35" s="7">
        <f>Tabuľka13[[#This Row],[Stĺpec13]]*1.2</f>
        <v>192</v>
      </c>
      <c r="S35" s="6">
        <f t="shared" si="5"/>
        <v>230.4</v>
      </c>
    </row>
    <row r="36" spans="1:19" ht="15.75" x14ac:dyDescent="0.25">
      <c r="A36" s="27">
        <v>8</v>
      </c>
      <c r="B36" t="s">
        <v>111</v>
      </c>
      <c r="C36" s="1">
        <v>165</v>
      </c>
      <c r="D36" s="5">
        <v>291.56</v>
      </c>
      <c r="E36">
        <v>19.64</v>
      </c>
      <c r="F36">
        <v>15.12</v>
      </c>
      <c r="G36" s="5">
        <v>39.53</v>
      </c>
      <c r="H36" s="24" t="s">
        <v>57</v>
      </c>
      <c r="I36" s="1">
        <f t="shared" si="7"/>
        <v>64038.6</v>
      </c>
      <c r="J36" s="1">
        <f t="shared" si="9"/>
        <v>3201.93</v>
      </c>
      <c r="K36" s="14">
        <f t="shared" si="10"/>
        <v>266.83</v>
      </c>
      <c r="L36" s="1">
        <f t="shared" si="11"/>
        <v>198</v>
      </c>
      <c r="M36" s="2">
        <f>SUM(C36+10)</f>
        <v>175</v>
      </c>
      <c r="N36" s="5">
        <f t="shared" si="8"/>
        <v>6.06</v>
      </c>
      <c r="O36" s="1">
        <f>SUM(Tabuľka13[[#This Row],[Stĺpec13]]-Tabuľka13[[#This Row],[Stĺpec3]])</f>
        <v>10</v>
      </c>
      <c r="R36" s="7">
        <f>Tabuľka13[[#This Row],[Stĺpec13]]*1.2</f>
        <v>210</v>
      </c>
      <c r="S36" s="6">
        <f t="shared" si="5"/>
        <v>252</v>
      </c>
    </row>
    <row r="37" spans="1:19" ht="15.75" x14ac:dyDescent="0.25">
      <c r="A37" s="27">
        <v>9</v>
      </c>
      <c r="B37" t="s">
        <v>112</v>
      </c>
      <c r="C37" s="1">
        <v>220</v>
      </c>
      <c r="D37" s="5">
        <v>365.86</v>
      </c>
      <c r="E37">
        <v>34.299999999999997</v>
      </c>
      <c r="F37">
        <v>15.1</v>
      </c>
      <c r="G37" s="5">
        <v>54.17</v>
      </c>
      <c r="H37" s="24" t="s">
        <v>59</v>
      </c>
      <c r="I37" s="1">
        <f t="shared" si="7"/>
        <v>87755.4</v>
      </c>
      <c r="J37" s="1">
        <f t="shared" si="9"/>
        <v>4387.7700000000004</v>
      </c>
      <c r="K37" s="14">
        <f t="shared" si="10"/>
        <v>365.65</v>
      </c>
      <c r="L37" s="1">
        <f t="shared" si="11"/>
        <v>264</v>
      </c>
      <c r="M37" s="2">
        <f>SUM(C37+15)</f>
        <v>235</v>
      </c>
      <c r="N37" s="5">
        <f t="shared" si="8"/>
        <v>6.82</v>
      </c>
      <c r="O37" s="1">
        <f>SUM(Tabuľka13[[#This Row],[Stĺpec13]]-Tabuľka13[[#This Row],[Stĺpec3]])</f>
        <v>15</v>
      </c>
      <c r="R37" s="7">
        <f>Tabuľka13[[#This Row],[Stĺpec13]]*1.2</f>
        <v>282</v>
      </c>
      <c r="S37" s="6">
        <f t="shared" si="5"/>
        <v>338.4</v>
      </c>
    </row>
    <row r="38" spans="1:19" ht="15.75" x14ac:dyDescent="0.25">
      <c r="A38" s="27">
        <v>10</v>
      </c>
      <c r="B38" t="s">
        <v>113</v>
      </c>
      <c r="C38" s="1">
        <v>150</v>
      </c>
      <c r="D38" s="5">
        <v>232.21</v>
      </c>
      <c r="E38">
        <v>19.64</v>
      </c>
      <c r="F38">
        <v>14.72</v>
      </c>
      <c r="G38" s="5">
        <v>39.130000000000003</v>
      </c>
      <c r="H38" s="24" t="s">
        <v>57</v>
      </c>
      <c r="I38" s="1">
        <f t="shared" si="7"/>
        <v>63390.6</v>
      </c>
      <c r="J38" s="1">
        <f t="shared" si="9"/>
        <v>3169.53</v>
      </c>
      <c r="K38" s="14">
        <f t="shared" si="10"/>
        <v>264.13</v>
      </c>
      <c r="L38" s="1">
        <f t="shared" si="11"/>
        <v>180</v>
      </c>
      <c r="M38" s="2">
        <f>SUM(C38+10)</f>
        <v>160</v>
      </c>
      <c r="N38" s="5">
        <f t="shared" si="8"/>
        <v>6.67</v>
      </c>
      <c r="O38" s="1">
        <f>SUM(Tabuľka13[[#This Row],[Stĺpec13]]-Tabuľka13[[#This Row],[Stĺpec3]])</f>
        <v>10</v>
      </c>
      <c r="R38" s="7">
        <f>Tabuľka13[[#This Row],[Stĺpec13]]*1.2</f>
        <v>192</v>
      </c>
      <c r="S38" s="6">
        <f t="shared" si="5"/>
        <v>230.4</v>
      </c>
    </row>
    <row r="39" spans="1:19" ht="15.75" x14ac:dyDescent="0.25">
      <c r="A39" s="27">
        <v>11</v>
      </c>
      <c r="B39" t="s">
        <v>114</v>
      </c>
      <c r="C39" s="1">
        <v>150</v>
      </c>
      <c r="D39" s="5">
        <v>254.98</v>
      </c>
      <c r="E39">
        <v>19.64</v>
      </c>
      <c r="F39">
        <v>14.72</v>
      </c>
      <c r="G39" s="5">
        <v>39.130000000000003</v>
      </c>
      <c r="H39" s="24" t="s">
        <v>57</v>
      </c>
      <c r="I39" s="1">
        <f t="shared" si="7"/>
        <v>63390.6</v>
      </c>
      <c r="J39" s="1">
        <f t="shared" si="9"/>
        <v>3169.53</v>
      </c>
      <c r="K39" s="14">
        <f t="shared" si="10"/>
        <v>264.13</v>
      </c>
      <c r="L39" s="1">
        <f t="shared" si="11"/>
        <v>180</v>
      </c>
      <c r="M39" s="2">
        <f>SUM(C39+10)</f>
        <v>160</v>
      </c>
      <c r="N39" s="5">
        <f t="shared" si="8"/>
        <v>6.67</v>
      </c>
      <c r="O39" s="1">
        <f>SUM(Tabuľka13[[#This Row],[Stĺpec13]]-Tabuľka13[[#This Row],[Stĺpec3]])</f>
        <v>10</v>
      </c>
      <c r="R39" s="7">
        <f>Tabuľka13[[#This Row],[Stĺpec13]]*1.2</f>
        <v>192</v>
      </c>
      <c r="S39" s="6">
        <f t="shared" si="5"/>
        <v>230.4</v>
      </c>
    </row>
    <row r="40" spans="1:19" ht="15.75" x14ac:dyDescent="0.25">
      <c r="A40" s="27">
        <v>12</v>
      </c>
      <c r="B40" t="s">
        <v>115</v>
      </c>
      <c r="C40" s="1">
        <v>165</v>
      </c>
      <c r="D40" s="5">
        <v>232.46</v>
      </c>
      <c r="E40">
        <v>19.64</v>
      </c>
      <c r="F40">
        <v>15.12</v>
      </c>
      <c r="G40" s="5">
        <v>39.53</v>
      </c>
      <c r="H40" s="24" t="s">
        <v>57</v>
      </c>
      <c r="I40" s="1">
        <f t="shared" si="7"/>
        <v>64038.6</v>
      </c>
      <c r="J40" s="1">
        <f t="shared" si="9"/>
        <v>3201.93</v>
      </c>
      <c r="K40" s="14">
        <f t="shared" si="10"/>
        <v>266.83</v>
      </c>
      <c r="L40" s="1">
        <f t="shared" si="11"/>
        <v>198</v>
      </c>
      <c r="M40" s="2">
        <f>SUM(C40+10)</f>
        <v>175</v>
      </c>
      <c r="N40" s="5">
        <f t="shared" si="8"/>
        <v>6.06</v>
      </c>
      <c r="O40" s="1">
        <f>SUM(Tabuľka13[[#This Row],[Stĺpec13]]-Tabuľka13[[#This Row],[Stĺpec3]])</f>
        <v>10</v>
      </c>
      <c r="R40" s="7">
        <f>Tabuľka13[[#This Row],[Stĺpec13]]*1.2</f>
        <v>210</v>
      </c>
      <c r="S40" s="6">
        <f t="shared" si="5"/>
        <v>252</v>
      </c>
    </row>
    <row r="41" spans="1:19" ht="15.75" x14ac:dyDescent="0.25">
      <c r="A41" s="27">
        <v>13</v>
      </c>
      <c r="B41" t="s">
        <v>116</v>
      </c>
      <c r="C41" s="1">
        <v>220</v>
      </c>
      <c r="D41" s="5">
        <v>382.06</v>
      </c>
      <c r="E41">
        <v>34.299999999999997</v>
      </c>
      <c r="F41">
        <v>15.1</v>
      </c>
      <c r="G41" s="5">
        <v>54.17</v>
      </c>
      <c r="H41" s="24" t="s">
        <v>59</v>
      </c>
      <c r="I41" s="1">
        <f t="shared" si="7"/>
        <v>87755.4</v>
      </c>
      <c r="J41" s="1">
        <f t="shared" si="9"/>
        <v>4387.7700000000004</v>
      </c>
      <c r="K41" s="14">
        <f t="shared" si="10"/>
        <v>365.65</v>
      </c>
      <c r="L41" s="1">
        <f t="shared" si="11"/>
        <v>264</v>
      </c>
      <c r="M41" s="2">
        <f>SUM(C41+15)</f>
        <v>235</v>
      </c>
      <c r="N41" s="5">
        <f t="shared" si="8"/>
        <v>6.82</v>
      </c>
      <c r="O41" s="1">
        <f>SUM(Tabuľka13[[#This Row],[Stĺpec13]]-Tabuľka13[[#This Row],[Stĺpec3]])</f>
        <v>15</v>
      </c>
      <c r="R41" s="7">
        <f>Tabuľka13[[#This Row],[Stĺpec13]]*1.2</f>
        <v>282</v>
      </c>
      <c r="S41" s="6">
        <f t="shared" si="5"/>
        <v>338.4</v>
      </c>
    </row>
    <row r="42" spans="1:19" ht="15.75" x14ac:dyDescent="0.25">
      <c r="A42" s="27">
        <v>14</v>
      </c>
      <c r="B42" t="s">
        <v>117</v>
      </c>
      <c r="C42" s="1">
        <v>150</v>
      </c>
      <c r="D42" s="5">
        <v>258.06</v>
      </c>
      <c r="E42">
        <v>19.64</v>
      </c>
      <c r="F42">
        <v>14.72</v>
      </c>
      <c r="G42" s="5">
        <v>39.130000000000003</v>
      </c>
      <c r="H42" s="24" t="s">
        <v>57</v>
      </c>
      <c r="I42" s="1">
        <f t="shared" si="7"/>
        <v>63390.6</v>
      </c>
      <c r="J42" s="1">
        <f t="shared" si="9"/>
        <v>3169.53</v>
      </c>
      <c r="K42" s="14">
        <f t="shared" si="10"/>
        <v>264.13</v>
      </c>
      <c r="L42" s="1">
        <f t="shared" si="11"/>
        <v>180</v>
      </c>
      <c r="M42" s="2">
        <f>SUM(C42+10)</f>
        <v>160</v>
      </c>
      <c r="N42" s="5">
        <f t="shared" si="8"/>
        <v>6.67</v>
      </c>
      <c r="O42" s="1">
        <f>SUM(Tabuľka13[[#This Row],[Stĺpec13]]-Tabuľka13[[#This Row],[Stĺpec3]])</f>
        <v>10</v>
      </c>
      <c r="R42" s="7">
        <f>Tabuľka13[[#This Row],[Stĺpec13]]*1.2</f>
        <v>192</v>
      </c>
      <c r="S42" s="6">
        <f t="shared" si="5"/>
        <v>230.4</v>
      </c>
    </row>
    <row r="43" spans="1:19" ht="15.75" hidden="1" x14ac:dyDescent="0.25">
      <c r="A43" s="26"/>
      <c r="C43" s="2">
        <f>SUM(C14:C42)</f>
        <v>4555</v>
      </c>
      <c r="D43" s="3" t="s">
        <v>224</v>
      </c>
      <c r="E43" s="15">
        <f>SUM(C30:C42)</f>
        <v>2205</v>
      </c>
      <c r="F43" s="5"/>
      <c r="I43" s="1"/>
      <c r="J43" s="1"/>
      <c r="K43" s="19">
        <f>SUM(K14:K42)</f>
        <v>7735.96</v>
      </c>
      <c r="L43" s="2"/>
      <c r="M43" s="16">
        <f>SUM(M14:M42)</f>
        <v>4855</v>
      </c>
      <c r="N43" s="5">
        <f t="shared" si="8"/>
        <v>6.59</v>
      </c>
      <c r="O43" s="5"/>
      <c r="R43" s="2">
        <f>SUM(R14:R42)</f>
        <v>5826</v>
      </c>
      <c r="S43" s="2">
        <f>SUM(S14:S42)</f>
        <v>6991.2</v>
      </c>
    </row>
    <row r="44" spans="1:19" ht="15.75" hidden="1" x14ac:dyDescent="0.25">
      <c r="A44" s="26"/>
      <c r="C44" s="3"/>
      <c r="E44" s="5"/>
      <c r="F44" s="5"/>
      <c r="K44" s="1"/>
      <c r="L44" s="1"/>
      <c r="M44" s="13">
        <f>M43-C43</f>
        <v>300</v>
      </c>
      <c r="R44" s="2">
        <f>SUM(R43-M43)</f>
        <v>971</v>
      </c>
      <c r="S44" s="2">
        <f>SUM(S43-R43)</f>
        <v>1165.2</v>
      </c>
    </row>
    <row r="45" spans="1:19" ht="15.75" hidden="1" x14ac:dyDescent="0.25">
      <c r="A45" s="3"/>
      <c r="B45" s="2"/>
      <c r="C45" s="3"/>
      <c r="E45" s="5"/>
      <c r="F45" s="5"/>
      <c r="K45" s="8"/>
      <c r="L45" s="1"/>
      <c r="M45" s="13">
        <f>M44*12</f>
        <v>3600</v>
      </c>
      <c r="R45" s="1">
        <f>R44*12</f>
        <v>11652</v>
      </c>
      <c r="S45" s="1">
        <f>S44*12</f>
        <v>13982.4</v>
      </c>
    </row>
    <row r="46" spans="1:19" ht="31.5" hidden="1" customHeight="1" x14ac:dyDescent="0.2">
      <c r="A46" s="131" t="s">
        <v>305</v>
      </c>
      <c r="B46" s="131"/>
      <c r="C46" s="131"/>
      <c r="D46" s="131"/>
      <c r="E46" s="131"/>
      <c r="F46" s="131"/>
      <c r="G46" s="131"/>
      <c r="H46" s="131"/>
      <c r="I46" s="131"/>
      <c r="J46" s="34" t="s">
        <v>325</v>
      </c>
      <c r="K46" s="132" t="s">
        <v>337</v>
      </c>
      <c r="L46" s="133"/>
      <c r="M46" s="13"/>
    </row>
    <row r="47" spans="1:19" hidden="1" x14ac:dyDescent="0.2">
      <c r="E47" s="5"/>
      <c r="F47" s="5"/>
      <c r="K47" s="1"/>
      <c r="L47" s="1"/>
      <c r="M47" s="13"/>
    </row>
    <row r="48" spans="1:19" x14ac:dyDescent="0.2">
      <c r="E48" s="5"/>
      <c r="F48" s="5"/>
      <c r="K48" s="1"/>
      <c r="L48" s="1"/>
      <c r="M48" s="13"/>
    </row>
    <row r="49" spans="2:13" x14ac:dyDescent="0.2">
      <c r="E49" s="5"/>
      <c r="F49" s="5"/>
      <c r="K49" s="1"/>
      <c r="L49" s="1"/>
      <c r="M49" s="13"/>
    </row>
    <row r="50" spans="2:13" x14ac:dyDescent="0.2">
      <c r="E50" s="5"/>
      <c r="F50" s="5"/>
      <c r="K50" s="1"/>
      <c r="L50" s="1"/>
      <c r="M50" s="13"/>
    </row>
    <row r="51" spans="2:13" x14ac:dyDescent="0.2">
      <c r="B51" s="22"/>
      <c r="C51" s="20"/>
      <c r="D51" s="20"/>
      <c r="E51" s="20"/>
      <c r="F51" s="20"/>
      <c r="K51" s="1"/>
      <c r="L51" s="1"/>
      <c r="M51" s="13"/>
    </row>
    <row r="52" spans="2:13" ht="15.75" x14ac:dyDescent="0.25">
      <c r="E52" s="5"/>
      <c r="F52" s="5"/>
      <c r="K52" s="2"/>
      <c r="L52" s="2"/>
      <c r="M52" s="13"/>
    </row>
    <row r="53" spans="2:13" x14ac:dyDescent="0.2">
      <c r="E53" s="5"/>
      <c r="F53" s="5"/>
      <c r="K53" s="1"/>
      <c r="L53" s="1"/>
      <c r="M53" s="13"/>
    </row>
    <row r="54" spans="2:13" x14ac:dyDescent="0.2">
      <c r="L54" s="1"/>
      <c r="M54" s="13"/>
    </row>
    <row r="55" spans="2:13" x14ac:dyDescent="0.2">
      <c r="K55" s="1"/>
      <c r="L55" s="1"/>
      <c r="M55" s="13"/>
    </row>
    <row r="56" spans="2:13" x14ac:dyDescent="0.2">
      <c r="K56" s="1"/>
      <c r="L56" s="1"/>
      <c r="M56" s="13"/>
    </row>
    <row r="57" spans="2:13" x14ac:dyDescent="0.2">
      <c r="K57" s="1"/>
      <c r="L57" s="1"/>
      <c r="M57" s="13"/>
    </row>
    <row r="58" spans="2:13" x14ac:dyDescent="0.2">
      <c r="K58" s="1"/>
      <c r="L58" s="1"/>
      <c r="M58" s="13"/>
    </row>
    <row r="59" spans="2:13" x14ac:dyDescent="0.2">
      <c r="K59" s="1"/>
      <c r="L59" s="1"/>
      <c r="M59" s="13"/>
    </row>
    <row r="60" spans="2:13" ht="15.75" x14ac:dyDescent="0.25">
      <c r="K60" s="2"/>
      <c r="L60" s="2"/>
      <c r="M60" s="13"/>
    </row>
    <row r="61" spans="2:13" x14ac:dyDescent="0.2">
      <c r="K61" s="1"/>
      <c r="L61" s="1"/>
      <c r="M61" s="13"/>
    </row>
    <row r="62" spans="2:13" x14ac:dyDescent="0.2">
      <c r="K62" s="1"/>
      <c r="L62" s="1"/>
      <c r="M62" s="13"/>
    </row>
    <row r="63" spans="2:13" x14ac:dyDescent="0.2">
      <c r="K63" s="1"/>
      <c r="L63" s="1"/>
      <c r="M63" s="13"/>
    </row>
    <row r="64" spans="2:13" x14ac:dyDescent="0.2">
      <c r="K64" s="1"/>
      <c r="L64" s="1"/>
      <c r="M64" s="13"/>
    </row>
    <row r="65" spans="11:13" x14ac:dyDescent="0.2">
      <c r="K65" s="1"/>
      <c r="L65" s="1"/>
      <c r="M65" s="13"/>
    </row>
    <row r="66" spans="11:13" x14ac:dyDescent="0.2">
      <c r="K66" s="1"/>
      <c r="L66" s="1"/>
      <c r="M66" s="13"/>
    </row>
    <row r="67" spans="11:13" x14ac:dyDescent="0.2">
      <c r="K67" s="1"/>
      <c r="L67" s="1"/>
      <c r="M67" s="13"/>
    </row>
    <row r="68" spans="11:13" x14ac:dyDescent="0.2">
      <c r="K68" s="1"/>
      <c r="L68" s="1"/>
      <c r="M68" s="13"/>
    </row>
    <row r="69" spans="11:13" x14ac:dyDescent="0.2">
      <c r="K69" s="1"/>
      <c r="L69" s="1"/>
      <c r="M69" s="13"/>
    </row>
    <row r="70" spans="11:13" x14ac:dyDescent="0.2">
      <c r="K70" s="1"/>
      <c r="L70" s="1"/>
      <c r="M70" s="13"/>
    </row>
    <row r="71" spans="11:13" x14ac:dyDescent="0.2">
      <c r="K71" s="1"/>
      <c r="L71" s="1"/>
      <c r="M71" s="13"/>
    </row>
    <row r="72" spans="11:13" x14ac:dyDescent="0.2">
      <c r="K72" s="1"/>
      <c r="L72" s="1"/>
      <c r="M72" s="13"/>
    </row>
    <row r="73" spans="11:13" x14ac:dyDescent="0.2">
      <c r="K73" s="1"/>
      <c r="L73" s="1"/>
      <c r="M73" s="13"/>
    </row>
    <row r="74" spans="11:13" x14ac:dyDescent="0.2">
      <c r="K74" s="1"/>
      <c r="L74" s="1"/>
      <c r="M74" s="13"/>
    </row>
    <row r="75" spans="11:13" x14ac:dyDescent="0.2">
      <c r="K75" s="1"/>
      <c r="L75" s="1"/>
      <c r="M75" s="13"/>
    </row>
    <row r="76" spans="11:13" x14ac:dyDescent="0.2">
      <c r="K76" s="1"/>
      <c r="L76" s="1"/>
      <c r="M76" s="13"/>
    </row>
    <row r="77" spans="11:13" x14ac:dyDescent="0.2">
      <c r="K77" s="1"/>
      <c r="L77" s="1"/>
      <c r="M77" s="13"/>
    </row>
    <row r="78" spans="11:13" x14ac:dyDescent="0.2">
      <c r="M78" s="13"/>
    </row>
    <row r="79" spans="11:13" x14ac:dyDescent="0.2">
      <c r="M79" s="13"/>
    </row>
    <row r="80" spans="11:13" x14ac:dyDescent="0.2">
      <c r="M80" s="13"/>
    </row>
    <row r="81" spans="13:13" x14ac:dyDescent="0.2">
      <c r="M81" s="13"/>
    </row>
    <row r="82" spans="13:13" x14ac:dyDescent="0.2">
      <c r="M82" s="13"/>
    </row>
    <row r="83" spans="13:13" x14ac:dyDescent="0.2">
      <c r="M83" s="13"/>
    </row>
    <row r="84" spans="13:13" x14ac:dyDescent="0.2">
      <c r="M84" s="13"/>
    </row>
    <row r="85" spans="13:13" x14ac:dyDescent="0.2">
      <c r="M85" s="13"/>
    </row>
    <row r="86" spans="13:13" x14ac:dyDescent="0.2">
      <c r="M86" s="13"/>
    </row>
    <row r="87" spans="13:13" x14ac:dyDescent="0.2">
      <c r="M87" s="13"/>
    </row>
    <row r="88" spans="13:13" x14ac:dyDescent="0.2">
      <c r="M88" s="13"/>
    </row>
    <row r="89" spans="13:13" x14ac:dyDescent="0.2">
      <c r="M89" s="13"/>
    </row>
    <row r="90" spans="13:13" x14ac:dyDescent="0.2">
      <c r="M90" s="13"/>
    </row>
    <row r="91" spans="13:13" x14ac:dyDescent="0.2">
      <c r="M91" s="13"/>
    </row>
    <row r="92" spans="13:13" x14ac:dyDescent="0.2">
      <c r="M92" s="13"/>
    </row>
    <row r="93" spans="13:13" x14ac:dyDescent="0.2">
      <c r="M93" s="13"/>
    </row>
    <row r="94" spans="13:13" x14ac:dyDescent="0.2">
      <c r="M94" s="13"/>
    </row>
    <row r="95" spans="13:13" x14ac:dyDescent="0.2">
      <c r="M95" s="13"/>
    </row>
    <row r="96" spans="13:13" x14ac:dyDescent="0.2">
      <c r="M96" s="13"/>
    </row>
    <row r="97" spans="13:13" x14ac:dyDescent="0.2">
      <c r="M97" s="13"/>
    </row>
    <row r="98" spans="13:13" x14ac:dyDescent="0.2">
      <c r="M98" s="13"/>
    </row>
    <row r="99" spans="13:13" x14ac:dyDescent="0.2">
      <c r="M99" s="13"/>
    </row>
    <row r="100" spans="13:13" x14ac:dyDescent="0.2">
      <c r="M100" s="13"/>
    </row>
    <row r="101" spans="13:13" x14ac:dyDescent="0.2">
      <c r="M101" s="13"/>
    </row>
    <row r="102" spans="13:13" x14ac:dyDescent="0.2">
      <c r="M102" s="13"/>
    </row>
    <row r="103" spans="13:13" x14ac:dyDescent="0.2">
      <c r="M103" s="13"/>
    </row>
    <row r="104" spans="13:13" x14ac:dyDescent="0.2">
      <c r="M104" s="13"/>
    </row>
    <row r="105" spans="13:13" x14ac:dyDescent="0.2">
      <c r="M105" s="13"/>
    </row>
    <row r="106" spans="13:13" x14ac:dyDescent="0.2">
      <c r="M106" s="13"/>
    </row>
    <row r="107" spans="13:13" x14ac:dyDescent="0.2">
      <c r="M107" s="13"/>
    </row>
    <row r="108" spans="13:13" x14ac:dyDescent="0.2">
      <c r="M108" s="13"/>
    </row>
    <row r="109" spans="13:13" x14ac:dyDescent="0.2">
      <c r="M109" s="13"/>
    </row>
    <row r="110" spans="13:13" x14ac:dyDescent="0.2">
      <c r="M110" s="13"/>
    </row>
    <row r="111" spans="13:13" x14ac:dyDescent="0.2">
      <c r="M111" s="13"/>
    </row>
    <row r="112" spans="13:13" x14ac:dyDescent="0.2">
      <c r="M112" s="13"/>
    </row>
    <row r="113" spans="13:13" x14ac:dyDescent="0.2">
      <c r="M113" s="13"/>
    </row>
    <row r="114" spans="13:13" x14ac:dyDescent="0.2">
      <c r="M114" s="13"/>
    </row>
    <row r="115" spans="13:13" x14ac:dyDescent="0.2">
      <c r="M115" s="13"/>
    </row>
    <row r="116" spans="13:13" x14ac:dyDescent="0.2">
      <c r="M116" s="13"/>
    </row>
    <row r="117" spans="13:13" x14ac:dyDescent="0.2">
      <c r="M117" s="13"/>
    </row>
    <row r="118" spans="13:13" x14ac:dyDescent="0.2">
      <c r="M118" s="13"/>
    </row>
    <row r="119" spans="13:13" x14ac:dyDescent="0.2">
      <c r="M119" s="13"/>
    </row>
  </sheetData>
  <mergeCells count="2">
    <mergeCell ref="A46:I46"/>
    <mergeCell ref="K46:L46"/>
  </mergeCells>
  <phoneticPr fontId="27" type="noConversion"/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57DB3-9237-49A5-82B4-DD1D2BA69DE6}">
  <sheetPr>
    <pageSetUpPr fitToPage="1"/>
  </sheetPr>
  <dimension ref="A1:Y93"/>
  <sheetViews>
    <sheetView workbookViewId="0">
      <selection activeCell="AA43" sqref="AA43"/>
    </sheetView>
  </sheetViews>
  <sheetFormatPr defaultRowHeight="15" x14ac:dyDescent="0.2"/>
  <cols>
    <col min="1" max="1" width="17.33203125" bestFit="1" customWidth="1"/>
    <col min="2" max="2" width="11.44140625" hidden="1" customWidth="1"/>
    <col min="3" max="3" width="8.33203125" customWidth="1"/>
    <col min="4" max="4" width="0" hidden="1" customWidth="1"/>
    <col min="5" max="5" width="6.44140625" hidden="1" customWidth="1"/>
    <col min="6" max="8" width="0" hidden="1" customWidth="1"/>
    <col min="9" max="9" width="10" hidden="1" customWidth="1"/>
    <col min="10" max="11" width="10.44140625" hidden="1" customWidth="1"/>
    <col min="12" max="12" width="11" bestFit="1" customWidth="1"/>
    <col min="13" max="13" width="10" style="12" hidden="1" customWidth="1"/>
    <col min="14" max="14" width="9.44140625" customWidth="1"/>
    <col min="15" max="15" width="10.44140625" style="12" hidden="1" customWidth="1"/>
    <col min="16" max="16" width="0" hidden="1" customWidth="1"/>
    <col min="18" max="18" width="10.88671875" hidden="1" customWidth="1"/>
    <col min="19" max="19" width="11.33203125" hidden="1" customWidth="1"/>
    <col min="20" max="20" width="11.21875" hidden="1" customWidth="1"/>
    <col min="21" max="21" width="10.88671875" hidden="1" customWidth="1"/>
    <col min="22" max="22" width="11.6640625" hidden="1" customWidth="1"/>
    <col min="23" max="23" width="11.77734375" hidden="1" customWidth="1"/>
    <col min="24" max="24" width="11.44140625" hidden="1" customWidth="1"/>
    <col min="25" max="25" width="0" hidden="1" customWidth="1"/>
  </cols>
  <sheetData>
    <row r="1" spans="1:25" ht="18" x14ac:dyDescent="0.25">
      <c r="A1" s="29" t="s">
        <v>355</v>
      </c>
      <c r="M1"/>
      <c r="O1"/>
    </row>
    <row r="2" spans="1:25" hidden="1" x14ac:dyDescent="0.2">
      <c r="A2" s="26" t="s">
        <v>294</v>
      </c>
      <c r="M2"/>
      <c r="O2"/>
    </row>
    <row r="3" spans="1:25" hidden="1" x14ac:dyDescent="0.2">
      <c r="A3" s="26" t="s">
        <v>295</v>
      </c>
      <c r="M3"/>
      <c r="O3"/>
    </row>
    <row r="4" spans="1:25" hidden="1" x14ac:dyDescent="0.2">
      <c r="A4" s="26"/>
      <c r="M4"/>
      <c r="O4"/>
    </row>
    <row r="5" spans="1:25" ht="15.75" hidden="1" x14ac:dyDescent="0.25">
      <c r="A5" s="26" t="s">
        <v>338</v>
      </c>
      <c r="M5"/>
      <c r="O5"/>
    </row>
    <row r="6" spans="1:25" hidden="1" x14ac:dyDescent="0.2">
      <c r="A6" s="26"/>
      <c r="M6"/>
      <c r="O6"/>
    </row>
    <row r="7" spans="1:25" ht="15.75" hidden="1" x14ac:dyDescent="0.25">
      <c r="A7" s="26" t="s">
        <v>319</v>
      </c>
      <c r="K7" s="3" t="s">
        <v>308</v>
      </c>
      <c r="L7" s="2" t="s">
        <v>226</v>
      </c>
      <c r="M7"/>
      <c r="O7"/>
    </row>
    <row r="8" spans="1:25" ht="15.75" hidden="1" x14ac:dyDescent="0.25">
      <c r="A8" s="26"/>
      <c r="K8" s="26" t="s">
        <v>321</v>
      </c>
      <c r="L8" s="4">
        <v>1620</v>
      </c>
      <c r="M8"/>
      <c r="O8"/>
    </row>
    <row r="9" spans="1:25" ht="15.75" x14ac:dyDescent="0.25">
      <c r="A9" s="26"/>
      <c r="K9" s="26"/>
      <c r="L9" s="4"/>
      <c r="M9"/>
      <c r="O9"/>
      <c r="R9" t="s">
        <v>341</v>
      </c>
    </row>
    <row r="10" spans="1:25" ht="47.25" x14ac:dyDescent="0.2">
      <c r="A10" s="39" t="s">
        <v>0</v>
      </c>
      <c r="B10" s="23" t="s">
        <v>1</v>
      </c>
      <c r="C10" s="31" t="s">
        <v>300</v>
      </c>
      <c r="D10" s="32" t="s">
        <v>2</v>
      </c>
      <c r="E10" s="32" t="s">
        <v>3</v>
      </c>
      <c r="F10" s="32" t="s">
        <v>4</v>
      </c>
      <c r="G10" s="31" t="s">
        <v>299</v>
      </c>
      <c r="H10" s="32" t="s">
        <v>5</v>
      </c>
      <c r="I10" s="31" t="s">
        <v>227</v>
      </c>
      <c r="J10" s="31" t="s">
        <v>216</v>
      </c>
      <c r="K10" s="45" t="s">
        <v>217</v>
      </c>
      <c r="L10" s="40" t="s">
        <v>356</v>
      </c>
      <c r="M10" s="31" t="s">
        <v>329</v>
      </c>
      <c r="N10" s="31" t="s">
        <v>336</v>
      </c>
      <c r="O10" s="31" t="s">
        <v>347</v>
      </c>
      <c r="P10" s="31" t="s">
        <v>304</v>
      </c>
      <c r="R10" s="40" t="s">
        <v>340</v>
      </c>
      <c r="S10" s="40" t="s">
        <v>342</v>
      </c>
      <c r="T10" s="40" t="s">
        <v>343</v>
      </c>
      <c r="U10" s="40" t="s">
        <v>344</v>
      </c>
      <c r="V10" s="40" t="s">
        <v>345</v>
      </c>
      <c r="W10" s="40" t="s">
        <v>346</v>
      </c>
      <c r="X10" s="40" t="s">
        <v>348</v>
      </c>
    </row>
    <row r="11" spans="1:25" ht="15.75" x14ac:dyDescent="0.2">
      <c r="A11" s="43"/>
      <c r="B11" s="23"/>
      <c r="C11" s="41"/>
      <c r="D11" s="23"/>
      <c r="E11" s="23"/>
      <c r="F11" s="23"/>
      <c r="G11" s="41"/>
      <c r="H11" s="23"/>
      <c r="I11" s="41"/>
      <c r="J11" s="41"/>
      <c r="K11" s="47"/>
      <c r="L11" s="42"/>
      <c r="M11" s="41"/>
      <c r="O11"/>
    </row>
    <row r="12" spans="1:25" ht="15.75" x14ac:dyDescent="0.25">
      <c r="A12" s="27" t="s">
        <v>332</v>
      </c>
      <c r="H12" s="24"/>
      <c r="K12" s="12"/>
      <c r="M12"/>
      <c r="O12"/>
    </row>
    <row r="13" spans="1:25" ht="15.75" x14ac:dyDescent="0.25">
      <c r="A13" s="44">
        <v>1</v>
      </c>
      <c r="B13" t="s">
        <v>192</v>
      </c>
      <c r="C13" s="53">
        <v>39.94</v>
      </c>
      <c r="D13" s="53">
        <v>168.72</v>
      </c>
      <c r="E13" s="12">
        <v>14.3</v>
      </c>
      <c r="F13" s="12">
        <v>11</v>
      </c>
      <c r="G13" s="53">
        <v>28.2</v>
      </c>
      <c r="H13" s="54" t="s">
        <v>57</v>
      </c>
      <c r="I13" s="14">
        <f t="shared" ref="I13:I20" si="0">SUM(G13*$L$8)</f>
        <v>45684</v>
      </c>
      <c r="J13" s="14">
        <f>SUM(I13*5%)</f>
        <v>2284.1999999999998</v>
      </c>
      <c r="K13" s="14">
        <f>SUM(J13/12)</f>
        <v>190.35</v>
      </c>
      <c r="L13" s="16">
        <v>47</v>
      </c>
      <c r="M13" t="s">
        <v>330</v>
      </c>
      <c r="N13" s="1">
        <f>SUM(Tabuľka10[[#This Row],[Stĺpec12]]-Tabuľka10[[#This Row],[Stĺpec3]])</f>
        <v>7.06</v>
      </c>
      <c r="O13" s="1">
        <v>47</v>
      </c>
      <c r="P13" s="51">
        <f>Tabuľka10[[#This Row],[Stĺpec14]]/Tabuľka10[[#This Row],[Stĺpec3]]</f>
        <v>0.18</v>
      </c>
      <c r="R13" s="7">
        <f>Tabuľka10[[#This Row],[Stĺpec12]]*1.2</f>
        <v>56.4</v>
      </c>
      <c r="S13" s="6">
        <f>R13*1.2</f>
        <v>67.680000000000007</v>
      </c>
      <c r="T13" s="6">
        <f t="shared" ref="T13:W13" si="1">S13*1.2</f>
        <v>81.22</v>
      </c>
      <c r="U13" s="6">
        <f t="shared" si="1"/>
        <v>97.46</v>
      </c>
      <c r="V13" s="6">
        <f t="shared" si="1"/>
        <v>116.95</v>
      </c>
      <c r="W13" s="6">
        <f t="shared" si="1"/>
        <v>140.34</v>
      </c>
      <c r="X13" s="6">
        <f>W13*1.2</f>
        <v>168.41</v>
      </c>
      <c r="Y13" s="6"/>
    </row>
    <row r="14" spans="1:25" ht="15.75" x14ac:dyDescent="0.25">
      <c r="A14" s="44">
        <v>2</v>
      </c>
      <c r="B14" t="s">
        <v>193</v>
      </c>
      <c r="C14" s="53">
        <v>49.75</v>
      </c>
      <c r="D14" s="53">
        <v>109.91</v>
      </c>
      <c r="E14" s="12">
        <v>22.7</v>
      </c>
      <c r="F14" s="12">
        <v>11</v>
      </c>
      <c r="G14" s="53">
        <v>36.6</v>
      </c>
      <c r="H14" s="54" t="s">
        <v>59</v>
      </c>
      <c r="I14" s="14">
        <f t="shared" si="0"/>
        <v>59292</v>
      </c>
      <c r="J14" s="14">
        <f t="shared" ref="J14:J20" si="2">SUM(I14*5%)</f>
        <v>2964.6</v>
      </c>
      <c r="K14" s="14">
        <f t="shared" ref="K14:K20" si="3">SUM(J14/12)</f>
        <v>247.05</v>
      </c>
      <c r="L14" s="16">
        <v>59</v>
      </c>
      <c r="M14" t="s">
        <v>330</v>
      </c>
      <c r="N14" s="1">
        <f>SUM(Tabuľka10[[#This Row],[Stĺpec12]]-Tabuľka10[[#This Row],[Stĺpec3]])</f>
        <v>9.25</v>
      </c>
      <c r="O14" s="1">
        <v>59</v>
      </c>
      <c r="P14" s="51">
        <f>Tabuľka10[[#This Row],[Stĺpec14]]/Tabuľka10[[#This Row],[Stĺpec3]]</f>
        <v>0.19</v>
      </c>
      <c r="R14" s="7">
        <f>Tabuľka10[[#This Row],[Stĺpec12]]*1.2</f>
        <v>70.8</v>
      </c>
      <c r="S14" s="6">
        <f t="shared" ref="S14:X14" si="4">R14*1.2</f>
        <v>84.96</v>
      </c>
      <c r="T14" s="6">
        <f t="shared" si="4"/>
        <v>101.95</v>
      </c>
      <c r="U14" s="6">
        <f t="shared" si="4"/>
        <v>122.34</v>
      </c>
      <c r="V14" s="6">
        <f t="shared" si="4"/>
        <v>146.81</v>
      </c>
      <c r="W14" s="6">
        <f t="shared" si="4"/>
        <v>176.17</v>
      </c>
      <c r="X14" s="6">
        <f t="shared" si="4"/>
        <v>211.4</v>
      </c>
    </row>
    <row r="15" spans="1:25" ht="15.75" x14ac:dyDescent="0.25">
      <c r="A15" s="44">
        <v>3</v>
      </c>
      <c r="B15" t="s">
        <v>194</v>
      </c>
      <c r="C15" s="53">
        <v>38.89</v>
      </c>
      <c r="D15" s="53">
        <v>120.07</v>
      </c>
      <c r="E15" s="12">
        <v>14.44</v>
      </c>
      <c r="F15" s="12">
        <v>11.19</v>
      </c>
      <c r="G15" s="53">
        <v>28.54</v>
      </c>
      <c r="H15" s="54" t="s">
        <v>57</v>
      </c>
      <c r="I15" s="14">
        <f t="shared" si="0"/>
        <v>46234.8</v>
      </c>
      <c r="J15" s="14">
        <f t="shared" si="2"/>
        <v>2311.7399999999998</v>
      </c>
      <c r="K15" s="14">
        <f t="shared" si="3"/>
        <v>192.65</v>
      </c>
      <c r="L15" s="16">
        <v>46</v>
      </c>
      <c r="M15" t="s">
        <v>330</v>
      </c>
      <c r="N15" s="1">
        <f>SUM(Tabuľka10[[#This Row],[Stĺpec12]]-Tabuľka10[[#This Row],[Stĺpec3]])</f>
        <v>7.11</v>
      </c>
      <c r="O15" s="1">
        <f t="shared" ref="O15:O20" si="5">MROUND(L15,2)</f>
        <v>46</v>
      </c>
      <c r="P15" s="51">
        <f>Tabuľka10[[#This Row],[Stĺpec14]]/Tabuľka10[[#This Row],[Stĺpec3]]</f>
        <v>0.18</v>
      </c>
      <c r="R15" s="7">
        <f>Tabuľka10[[#This Row],[Stĺpec12]]*1.2</f>
        <v>55.2</v>
      </c>
      <c r="S15" s="6">
        <f t="shared" ref="S15:X15" si="6">R15*1.2</f>
        <v>66.239999999999995</v>
      </c>
      <c r="T15" s="6">
        <f t="shared" si="6"/>
        <v>79.489999999999995</v>
      </c>
      <c r="U15" s="6">
        <f t="shared" si="6"/>
        <v>95.39</v>
      </c>
      <c r="V15" s="6">
        <f t="shared" si="6"/>
        <v>114.47</v>
      </c>
      <c r="W15" s="6">
        <f t="shared" si="6"/>
        <v>137.36000000000001</v>
      </c>
      <c r="X15" s="6">
        <f t="shared" si="6"/>
        <v>164.83</v>
      </c>
    </row>
    <row r="16" spans="1:25" ht="15.75" x14ac:dyDescent="0.25">
      <c r="A16" s="44">
        <v>4</v>
      </c>
      <c r="B16" t="s">
        <v>195</v>
      </c>
      <c r="C16" s="53">
        <v>39.94</v>
      </c>
      <c r="D16" s="53">
        <v>96.39</v>
      </c>
      <c r="E16" s="12">
        <v>14.3</v>
      </c>
      <c r="F16" s="12">
        <v>11</v>
      </c>
      <c r="G16" s="53">
        <v>28.2</v>
      </c>
      <c r="H16" s="54" t="s">
        <v>57</v>
      </c>
      <c r="I16" s="14">
        <f t="shared" si="0"/>
        <v>45684</v>
      </c>
      <c r="J16" s="14">
        <f t="shared" si="2"/>
        <v>2284.1999999999998</v>
      </c>
      <c r="K16" s="14">
        <f t="shared" si="3"/>
        <v>190.35</v>
      </c>
      <c r="L16" s="16">
        <v>47</v>
      </c>
      <c r="M16" t="s">
        <v>330</v>
      </c>
      <c r="N16" s="1">
        <f>SUM(Tabuľka10[[#This Row],[Stĺpec12]]-Tabuľka10[[#This Row],[Stĺpec3]])</f>
        <v>7.06</v>
      </c>
      <c r="O16" s="1">
        <v>47</v>
      </c>
      <c r="P16" s="51">
        <f>Tabuľka10[[#This Row],[Stĺpec14]]/Tabuľka10[[#This Row],[Stĺpec3]]</f>
        <v>0.18</v>
      </c>
      <c r="R16" s="7">
        <f>Tabuľka10[[#This Row],[Stĺpec12]]*1.2</f>
        <v>56.4</v>
      </c>
      <c r="S16" s="6">
        <f t="shared" ref="S16:X16" si="7">R16*1.2</f>
        <v>67.680000000000007</v>
      </c>
      <c r="T16" s="6">
        <f t="shared" si="7"/>
        <v>81.22</v>
      </c>
      <c r="U16" s="6">
        <f t="shared" si="7"/>
        <v>97.46</v>
      </c>
      <c r="V16" s="6">
        <f t="shared" si="7"/>
        <v>116.95</v>
      </c>
      <c r="W16" s="6">
        <f t="shared" si="7"/>
        <v>140.34</v>
      </c>
      <c r="X16" s="6">
        <f t="shared" si="7"/>
        <v>168.41</v>
      </c>
    </row>
    <row r="17" spans="1:24" ht="15.75" x14ac:dyDescent="0.25">
      <c r="A17" s="44">
        <v>5</v>
      </c>
      <c r="B17" s="10" t="s">
        <v>196</v>
      </c>
      <c r="C17" s="53">
        <v>37.9</v>
      </c>
      <c r="D17" s="53">
        <v>133.75</v>
      </c>
      <c r="E17" s="12">
        <v>14.3</v>
      </c>
      <c r="F17" s="12">
        <v>11</v>
      </c>
      <c r="G17" s="53">
        <v>28.2</v>
      </c>
      <c r="H17" s="54" t="s">
        <v>57</v>
      </c>
      <c r="I17" s="14">
        <f t="shared" si="0"/>
        <v>45684</v>
      </c>
      <c r="J17" s="14">
        <f t="shared" si="2"/>
        <v>2284.1999999999998</v>
      </c>
      <c r="K17" s="14">
        <f t="shared" si="3"/>
        <v>190.35</v>
      </c>
      <c r="L17" s="16">
        <v>45</v>
      </c>
      <c r="M17" s="10" t="s">
        <v>333</v>
      </c>
      <c r="N17" s="1">
        <f>SUM(Tabuľka10[[#This Row],[Stĺpec12]]-Tabuľka10[[#This Row],[Stĺpec3]])</f>
        <v>7.1</v>
      </c>
      <c r="O17" s="1">
        <v>45</v>
      </c>
      <c r="P17" s="51">
        <f>Tabuľka10[[#This Row],[Stĺpec14]]/Tabuľka10[[#This Row],[Stĺpec3]]</f>
        <v>0.19</v>
      </c>
      <c r="R17" s="7">
        <f>Tabuľka10[[#This Row],[Stĺpec12]]*1.2</f>
        <v>54</v>
      </c>
      <c r="S17" s="6">
        <f t="shared" ref="S17:X17" si="8">R17*1.2</f>
        <v>64.8</v>
      </c>
      <c r="T17" s="6">
        <f t="shared" si="8"/>
        <v>77.760000000000005</v>
      </c>
      <c r="U17" s="6">
        <f t="shared" si="8"/>
        <v>93.31</v>
      </c>
      <c r="V17" s="6">
        <f t="shared" si="8"/>
        <v>111.97</v>
      </c>
      <c r="W17" s="6">
        <f t="shared" si="8"/>
        <v>134.36000000000001</v>
      </c>
      <c r="X17" s="6">
        <f t="shared" si="8"/>
        <v>161.22999999999999</v>
      </c>
    </row>
    <row r="18" spans="1:24" ht="15.75" x14ac:dyDescent="0.25">
      <c r="A18" s="44">
        <v>6</v>
      </c>
      <c r="B18" s="10" t="s">
        <v>197</v>
      </c>
      <c r="C18" s="53">
        <v>38.89</v>
      </c>
      <c r="D18" s="53">
        <v>109.8</v>
      </c>
      <c r="E18" s="12">
        <v>14.3</v>
      </c>
      <c r="F18" s="12">
        <v>11</v>
      </c>
      <c r="G18" s="53">
        <v>28.2</v>
      </c>
      <c r="H18" s="54" t="s">
        <v>57</v>
      </c>
      <c r="I18" s="14">
        <f t="shared" si="0"/>
        <v>45684</v>
      </c>
      <c r="J18" s="14">
        <f t="shared" si="2"/>
        <v>2284.1999999999998</v>
      </c>
      <c r="K18" s="14">
        <f t="shared" si="3"/>
        <v>190.35</v>
      </c>
      <c r="L18" s="16">
        <v>46</v>
      </c>
      <c r="M18" s="10" t="s">
        <v>333</v>
      </c>
      <c r="N18" s="1">
        <f>SUM(Tabuľka10[[#This Row],[Stĺpec12]]-Tabuľka10[[#This Row],[Stĺpec3]])</f>
        <v>7.11</v>
      </c>
      <c r="O18" s="1">
        <f t="shared" si="5"/>
        <v>46</v>
      </c>
      <c r="P18" s="51">
        <f>Tabuľka10[[#This Row],[Stĺpec14]]/Tabuľka10[[#This Row],[Stĺpec3]]</f>
        <v>0.18</v>
      </c>
      <c r="R18" s="7">
        <f>Tabuľka10[[#This Row],[Stĺpec12]]*1.2</f>
        <v>55.2</v>
      </c>
      <c r="S18" s="6">
        <f t="shared" ref="S18:X18" si="9">R18*1.2</f>
        <v>66.239999999999995</v>
      </c>
      <c r="T18" s="6">
        <f t="shared" si="9"/>
        <v>79.489999999999995</v>
      </c>
      <c r="U18" s="6">
        <f t="shared" si="9"/>
        <v>95.39</v>
      </c>
      <c r="V18" s="6">
        <f t="shared" si="9"/>
        <v>114.47</v>
      </c>
      <c r="W18" s="6">
        <f t="shared" si="9"/>
        <v>137.36000000000001</v>
      </c>
      <c r="X18" s="6">
        <f t="shared" si="9"/>
        <v>164.83</v>
      </c>
    </row>
    <row r="19" spans="1:24" ht="15.75" x14ac:dyDescent="0.25">
      <c r="A19" s="44">
        <v>7</v>
      </c>
      <c r="B19" t="s">
        <v>198</v>
      </c>
      <c r="C19" s="53">
        <v>37.9</v>
      </c>
      <c r="D19" s="53">
        <v>103.37</v>
      </c>
      <c r="E19" s="12">
        <v>14.3</v>
      </c>
      <c r="F19" s="12">
        <v>11</v>
      </c>
      <c r="G19" s="53">
        <v>28.2</v>
      </c>
      <c r="H19" s="54" t="s">
        <v>57</v>
      </c>
      <c r="I19" s="14">
        <f t="shared" si="0"/>
        <v>45684</v>
      </c>
      <c r="J19" s="14">
        <f t="shared" si="2"/>
        <v>2284.1999999999998</v>
      </c>
      <c r="K19" s="14">
        <f t="shared" si="3"/>
        <v>190.35</v>
      </c>
      <c r="L19" s="16">
        <v>45</v>
      </c>
      <c r="M19" t="s">
        <v>330</v>
      </c>
      <c r="N19" s="1">
        <f>SUM(Tabuľka10[[#This Row],[Stĺpec12]]-Tabuľka10[[#This Row],[Stĺpec3]])</f>
        <v>7.1</v>
      </c>
      <c r="O19" s="1">
        <v>45</v>
      </c>
      <c r="P19" s="51">
        <f>Tabuľka10[[#This Row],[Stĺpec14]]/Tabuľka10[[#This Row],[Stĺpec3]]</f>
        <v>0.19</v>
      </c>
      <c r="R19" s="7">
        <f>Tabuľka10[[#This Row],[Stĺpec12]]*1.2</f>
        <v>54</v>
      </c>
      <c r="S19" s="6">
        <f t="shared" ref="S19:X19" si="10">R19*1.2</f>
        <v>64.8</v>
      </c>
      <c r="T19" s="6">
        <f t="shared" si="10"/>
        <v>77.760000000000005</v>
      </c>
      <c r="U19" s="6">
        <f t="shared" si="10"/>
        <v>93.31</v>
      </c>
      <c r="V19" s="6">
        <f t="shared" si="10"/>
        <v>111.97</v>
      </c>
      <c r="W19" s="6">
        <f t="shared" si="10"/>
        <v>134.36000000000001</v>
      </c>
      <c r="X19" s="6">
        <f t="shared" si="10"/>
        <v>161.22999999999999</v>
      </c>
    </row>
    <row r="20" spans="1:24" ht="15.75" x14ac:dyDescent="0.25">
      <c r="A20" s="44">
        <v>8</v>
      </c>
      <c r="B20" t="s">
        <v>199</v>
      </c>
      <c r="C20" s="53">
        <v>38.89</v>
      </c>
      <c r="D20" s="53">
        <v>107.62</v>
      </c>
      <c r="E20" s="12">
        <v>14.3</v>
      </c>
      <c r="F20" s="12">
        <v>11</v>
      </c>
      <c r="G20" s="53">
        <v>28.2</v>
      </c>
      <c r="H20" s="54" t="s">
        <v>57</v>
      </c>
      <c r="I20" s="14">
        <f t="shared" si="0"/>
        <v>45684</v>
      </c>
      <c r="J20" s="14">
        <f t="shared" si="2"/>
        <v>2284.1999999999998</v>
      </c>
      <c r="K20" s="14">
        <f t="shared" si="3"/>
        <v>190.35</v>
      </c>
      <c r="L20" s="16">
        <v>46</v>
      </c>
      <c r="M20" t="s">
        <v>330</v>
      </c>
      <c r="N20" s="1">
        <f>SUM(Tabuľka10[[#This Row],[Stĺpec12]]-Tabuľka10[[#This Row],[Stĺpec3]])</f>
        <v>7.11</v>
      </c>
      <c r="O20" s="1">
        <f t="shared" si="5"/>
        <v>46</v>
      </c>
      <c r="P20" s="51">
        <f>Tabuľka10[[#This Row],[Stĺpec14]]/Tabuľka10[[#This Row],[Stĺpec3]]</f>
        <v>0.18</v>
      </c>
      <c r="R20" s="7">
        <f>Tabuľka10[[#This Row],[Stĺpec12]]*1.2</f>
        <v>55.2</v>
      </c>
      <c r="S20" s="6">
        <f t="shared" ref="S20:X20" si="11">R20*1.2</f>
        <v>66.239999999999995</v>
      </c>
      <c r="T20" s="6">
        <f t="shared" si="11"/>
        <v>79.489999999999995</v>
      </c>
      <c r="U20" s="6">
        <f t="shared" si="11"/>
        <v>95.39</v>
      </c>
      <c r="V20" s="6">
        <f t="shared" si="11"/>
        <v>114.47</v>
      </c>
      <c r="W20" s="6">
        <f t="shared" si="11"/>
        <v>137.36000000000001</v>
      </c>
      <c r="X20" s="6">
        <f t="shared" si="11"/>
        <v>164.83</v>
      </c>
    </row>
    <row r="21" spans="1:24" ht="15.75" hidden="1" x14ac:dyDescent="0.25">
      <c r="A21" s="44"/>
      <c r="B21" s="3" t="s">
        <v>224</v>
      </c>
      <c r="C21" s="15">
        <f>SUM(C13:C20)</f>
        <v>322.10000000000002</v>
      </c>
      <c r="D21" s="3"/>
      <c r="E21" s="3"/>
      <c r="F21" s="3"/>
      <c r="G21" s="3"/>
      <c r="H21" s="3"/>
      <c r="I21" s="2"/>
      <c r="J21" s="2"/>
      <c r="K21" s="19">
        <f>SUM(K13:K20)</f>
        <v>1581.8</v>
      </c>
      <c r="L21" s="16">
        <f>SUM(L13:L20)</f>
        <v>381</v>
      </c>
      <c r="M21"/>
      <c r="N21" s="1"/>
      <c r="O21" s="13"/>
      <c r="R21" s="2">
        <f>SUM(R13:R20)</f>
        <v>457.2</v>
      </c>
      <c r="S21" s="2">
        <f t="shared" ref="S21:X21" si="12">SUM(S13:S20)</f>
        <v>548.64</v>
      </c>
      <c r="T21" s="2">
        <f t="shared" si="12"/>
        <v>658.38</v>
      </c>
      <c r="U21" s="2">
        <f t="shared" si="12"/>
        <v>790.05</v>
      </c>
      <c r="V21" s="2">
        <f t="shared" si="12"/>
        <v>948.06</v>
      </c>
      <c r="W21" s="2">
        <f t="shared" si="12"/>
        <v>1137.6500000000001</v>
      </c>
      <c r="X21" s="2">
        <f t="shared" si="12"/>
        <v>1365.17</v>
      </c>
    </row>
    <row r="22" spans="1:24" ht="15.75" hidden="1" x14ac:dyDescent="0.25">
      <c r="H22" s="1" t="s">
        <v>314</v>
      </c>
      <c r="K22" s="12"/>
      <c r="L22" s="2">
        <f>SUM(L21-C21)</f>
        <v>58.9</v>
      </c>
      <c r="M22" s="14"/>
      <c r="N22" s="1"/>
      <c r="O22" s="13"/>
      <c r="R22" s="2">
        <f>SUM(R21-L21)</f>
        <v>76.2</v>
      </c>
      <c r="S22" s="2">
        <f t="shared" ref="S22:X22" si="13">SUM(S21-R21)</f>
        <v>91.44</v>
      </c>
      <c r="T22" s="2">
        <f t="shared" si="13"/>
        <v>109.74</v>
      </c>
      <c r="U22" s="2">
        <f t="shared" si="13"/>
        <v>131.66999999999999</v>
      </c>
      <c r="V22" s="2">
        <f t="shared" si="13"/>
        <v>158.01</v>
      </c>
      <c r="W22" s="2">
        <f t="shared" si="13"/>
        <v>189.59</v>
      </c>
      <c r="X22" s="2">
        <f t="shared" si="13"/>
        <v>227.52</v>
      </c>
    </row>
    <row r="23" spans="1:24" hidden="1" x14ac:dyDescent="0.2">
      <c r="L23" s="6">
        <f>L22*12</f>
        <v>706.8</v>
      </c>
      <c r="M23" s="14"/>
      <c r="N23" s="1"/>
      <c r="O23" s="13"/>
      <c r="R23" s="1">
        <f t="shared" ref="R23:X23" si="14">R22*12</f>
        <v>914.4</v>
      </c>
      <c r="S23" s="1">
        <f t="shared" si="14"/>
        <v>1097.28</v>
      </c>
      <c r="T23" s="1">
        <f t="shared" si="14"/>
        <v>1316.88</v>
      </c>
      <c r="U23" s="1">
        <f t="shared" si="14"/>
        <v>1580.04</v>
      </c>
      <c r="V23" s="1">
        <f t="shared" si="14"/>
        <v>1896.12</v>
      </c>
      <c r="W23" s="1">
        <f t="shared" si="14"/>
        <v>2275.08</v>
      </c>
      <c r="X23" s="1">
        <f t="shared" si="14"/>
        <v>2730.24</v>
      </c>
    </row>
    <row r="24" spans="1:24" hidden="1" x14ac:dyDescent="0.2">
      <c r="L24" s="1"/>
      <c r="M24" s="14"/>
      <c r="N24" s="1"/>
      <c r="O24" s="13"/>
    </row>
    <row r="25" spans="1:24" ht="33" hidden="1" customHeight="1" x14ac:dyDescent="0.2">
      <c r="L25" s="8"/>
      <c r="M25" s="1"/>
      <c r="N25" s="1"/>
      <c r="O25" s="1"/>
    </row>
    <row r="26" spans="1:24" ht="33" hidden="1" customHeight="1" x14ac:dyDescent="0.2">
      <c r="A26" s="131" t="s">
        <v>305</v>
      </c>
      <c r="B26" s="131"/>
      <c r="C26" s="131"/>
      <c r="D26" s="131"/>
      <c r="E26" s="131"/>
      <c r="F26" s="131"/>
      <c r="G26" s="131"/>
      <c r="H26" s="131"/>
      <c r="I26" s="131"/>
      <c r="J26" s="34" t="s">
        <v>325</v>
      </c>
      <c r="K26" s="132" t="s">
        <v>326</v>
      </c>
      <c r="L26" s="133"/>
      <c r="M26" s="1"/>
      <c r="N26" s="1"/>
      <c r="O26" s="1"/>
    </row>
    <row r="27" spans="1:24" hidden="1" x14ac:dyDescent="0.2">
      <c r="B27" s="1"/>
      <c r="L27" s="1"/>
      <c r="M27" s="1"/>
      <c r="N27" s="1"/>
      <c r="O27" s="13"/>
    </row>
    <row r="28" spans="1:24" hidden="1" x14ac:dyDescent="0.2">
      <c r="L28" s="1"/>
      <c r="M28" s="1"/>
      <c r="N28" s="1"/>
      <c r="O28" s="13"/>
    </row>
    <row r="29" spans="1:24" hidden="1" x14ac:dyDescent="0.2">
      <c r="L29" s="1"/>
      <c r="M29" s="1"/>
      <c r="N29" s="1"/>
      <c r="O29" s="13"/>
    </row>
    <row r="30" spans="1:24" hidden="1" x14ac:dyDescent="0.2">
      <c r="A30" t="s">
        <v>331</v>
      </c>
      <c r="L30" s="1"/>
      <c r="M30" s="1"/>
      <c r="N30" s="1"/>
      <c r="O30" s="13"/>
    </row>
    <row r="31" spans="1:24" x14ac:dyDescent="0.2">
      <c r="L31" s="1"/>
      <c r="M31" s="14"/>
      <c r="N31" s="1"/>
      <c r="O31" s="13"/>
    </row>
    <row r="32" spans="1:24" x14ac:dyDescent="0.2">
      <c r="L32" s="1"/>
      <c r="M32" s="14"/>
      <c r="N32" s="1"/>
      <c r="O32" s="13"/>
    </row>
    <row r="33" spans="12:15" x14ac:dyDescent="0.2">
      <c r="L33" s="1"/>
      <c r="M33" s="14"/>
      <c r="N33" s="1"/>
      <c r="O33" s="13"/>
    </row>
    <row r="34" spans="12:15" ht="15.75" x14ac:dyDescent="0.25">
      <c r="L34" s="1"/>
      <c r="M34" s="14"/>
      <c r="N34" s="2"/>
      <c r="O34" s="13"/>
    </row>
    <row r="35" spans="12:15" ht="15.75" x14ac:dyDescent="0.25">
      <c r="L35" s="2"/>
      <c r="M35" s="16"/>
      <c r="N35" s="1"/>
      <c r="O35" s="13"/>
    </row>
    <row r="36" spans="12:15" x14ac:dyDescent="0.2">
      <c r="L36" s="1"/>
      <c r="M36" s="14"/>
      <c r="N36" s="1"/>
      <c r="O36" s="13"/>
    </row>
    <row r="37" spans="12:15" x14ac:dyDescent="0.2">
      <c r="L37" s="1"/>
      <c r="M37" s="14"/>
      <c r="N37" s="1"/>
      <c r="O37" s="13"/>
    </row>
    <row r="38" spans="12:15" x14ac:dyDescent="0.2">
      <c r="L38" s="1"/>
      <c r="M38" s="14"/>
      <c r="N38" s="1"/>
      <c r="O38" s="13"/>
    </row>
    <row r="39" spans="12:15" x14ac:dyDescent="0.2">
      <c r="L39" s="1"/>
      <c r="M39" s="14"/>
      <c r="N39" s="1"/>
      <c r="O39" s="13"/>
    </row>
    <row r="40" spans="12:15" x14ac:dyDescent="0.2">
      <c r="L40" s="1"/>
      <c r="M40" s="14"/>
      <c r="N40" s="1"/>
      <c r="O40" s="13"/>
    </row>
    <row r="41" spans="12:15" x14ac:dyDescent="0.2">
      <c r="L41" s="1"/>
      <c r="M41" s="14"/>
      <c r="N41" s="1"/>
      <c r="O41" s="13"/>
    </row>
    <row r="42" spans="12:15" x14ac:dyDescent="0.2">
      <c r="L42" s="1"/>
      <c r="M42" s="14"/>
      <c r="N42" s="1"/>
      <c r="O42" s="13"/>
    </row>
    <row r="43" spans="12:15" x14ac:dyDescent="0.2">
      <c r="L43" s="1"/>
      <c r="M43" s="14"/>
      <c r="N43" s="1"/>
      <c r="O43" s="13"/>
    </row>
    <row r="44" spans="12:15" x14ac:dyDescent="0.2">
      <c r="L44" s="1"/>
      <c r="M44" s="14"/>
      <c r="N44" s="1"/>
      <c r="O44" s="13"/>
    </row>
    <row r="45" spans="12:15" x14ac:dyDescent="0.2">
      <c r="L45" s="1"/>
      <c r="M45" s="14"/>
      <c r="N45" s="1"/>
      <c r="O45" s="13"/>
    </row>
    <row r="46" spans="12:15" x14ac:dyDescent="0.2">
      <c r="L46" s="1"/>
      <c r="M46" s="14"/>
      <c r="N46" s="1"/>
      <c r="O46" s="13"/>
    </row>
    <row r="47" spans="12:15" x14ac:dyDescent="0.2">
      <c r="L47" s="1"/>
      <c r="M47" s="14"/>
      <c r="N47" s="1"/>
      <c r="O47" s="13"/>
    </row>
    <row r="48" spans="12:15" x14ac:dyDescent="0.2">
      <c r="L48" s="1"/>
      <c r="M48" s="14"/>
      <c r="N48" s="1"/>
      <c r="O48" s="13"/>
    </row>
    <row r="49" spans="12:15" x14ac:dyDescent="0.2">
      <c r="L49" s="1"/>
      <c r="M49" s="14"/>
      <c r="N49" s="1"/>
      <c r="O49" s="13"/>
    </row>
    <row r="50" spans="12:15" x14ac:dyDescent="0.2">
      <c r="L50" s="1"/>
      <c r="M50" s="14"/>
      <c r="N50" s="1"/>
      <c r="O50" s="13"/>
    </row>
    <row r="51" spans="12:15" x14ac:dyDescent="0.2">
      <c r="L51" s="1"/>
      <c r="M51" s="14"/>
      <c r="N51" s="1"/>
      <c r="O51" s="13"/>
    </row>
    <row r="52" spans="12:15" x14ac:dyDescent="0.2">
      <c r="L52" s="1"/>
      <c r="M52" s="14"/>
      <c r="O52" s="13"/>
    </row>
    <row r="53" spans="12:15" x14ac:dyDescent="0.2">
      <c r="O53" s="13"/>
    </row>
    <row r="54" spans="12:15" x14ac:dyDescent="0.2">
      <c r="O54" s="13"/>
    </row>
    <row r="55" spans="12:15" x14ac:dyDescent="0.2">
      <c r="O55" s="13"/>
    </row>
    <row r="56" spans="12:15" x14ac:dyDescent="0.2">
      <c r="O56" s="13"/>
    </row>
    <row r="57" spans="12:15" x14ac:dyDescent="0.2">
      <c r="O57" s="13"/>
    </row>
    <row r="58" spans="12:15" x14ac:dyDescent="0.2">
      <c r="O58" s="13"/>
    </row>
    <row r="59" spans="12:15" x14ac:dyDescent="0.2">
      <c r="O59" s="13"/>
    </row>
    <row r="60" spans="12:15" x14ac:dyDescent="0.2">
      <c r="O60" s="13"/>
    </row>
    <row r="61" spans="12:15" x14ac:dyDescent="0.2">
      <c r="O61" s="13"/>
    </row>
    <row r="62" spans="12:15" x14ac:dyDescent="0.2">
      <c r="O62" s="13"/>
    </row>
    <row r="63" spans="12:15" x14ac:dyDescent="0.2">
      <c r="O63" s="13"/>
    </row>
    <row r="64" spans="12:15" x14ac:dyDescent="0.2">
      <c r="O64" s="13"/>
    </row>
    <row r="65" spans="15:15" x14ac:dyDescent="0.2">
      <c r="O65" s="13"/>
    </row>
    <row r="66" spans="15:15" x14ac:dyDescent="0.2">
      <c r="O66" s="13"/>
    </row>
    <row r="67" spans="15:15" x14ac:dyDescent="0.2">
      <c r="O67" s="13"/>
    </row>
    <row r="68" spans="15:15" x14ac:dyDescent="0.2">
      <c r="O68" s="13"/>
    </row>
    <row r="69" spans="15:15" x14ac:dyDescent="0.2">
      <c r="O69" s="13"/>
    </row>
    <row r="70" spans="15:15" x14ac:dyDescent="0.2">
      <c r="O70" s="13"/>
    </row>
    <row r="71" spans="15:15" x14ac:dyDescent="0.2">
      <c r="O71" s="13"/>
    </row>
    <row r="72" spans="15:15" x14ac:dyDescent="0.2">
      <c r="O72" s="13"/>
    </row>
    <row r="73" spans="15:15" x14ac:dyDescent="0.2">
      <c r="O73" s="13"/>
    </row>
    <row r="74" spans="15:15" x14ac:dyDescent="0.2">
      <c r="O74" s="13"/>
    </row>
    <row r="75" spans="15:15" x14ac:dyDescent="0.2">
      <c r="O75" s="13"/>
    </row>
    <row r="76" spans="15:15" x14ac:dyDescent="0.2">
      <c r="O76" s="13"/>
    </row>
    <row r="77" spans="15:15" x14ac:dyDescent="0.2">
      <c r="O77" s="13"/>
    </row>
    <row r="78" spans="15:15" x14ac:dyDescent="0.2">
      <c r="O78" s="13"/>
    </row>
    <row r="79" spans="15:15" x14ac:dyDescent="0.2">
      <c r="O79" s="13"/>
    </row>
    <row r="80" spans="15:15" x14ac:dyDescent="0.2">
      <c r="O80" s="13"/>
    </row>
    <row r="81" spans="15:15" x14ac:dyDescent="0.2">
      <c r="O81" s="13"/>
    </row>
    <row r="82" spans="15:15" x14ac:dyDescent="0.2">
      <c r="O82" s="13"/>
    </row>
    <row r="83" spans="15:15" x14ac:dyDescent="0.2">
      <c r="O83" s="13"/>
    </row>
    <row r="84" spans="15:15" x14ac:dyDescent="0.2">
      <c r="O84" s="13"/>
    </row>
    <row r="85" spans="15:15" x14ac:dyDescent="0.2">
      <c r="O85" s="13"/>
    </row>
    <row r="86" spans="15:15" x14ac:dyDescent="0.2">
      <c r="O86" s="13"/>
    </row>
    <row r="87" spans="15:15" x14ac:dyDescent="0.2">
      <c r="O87" s="13"/>
    </row>
    <row r="88" spans="15:15" x14ac:dyDescent="0.2">
      <c r="O88" s="13"/>
    </row>
    <row r="89" spans="15:15" x14ac:dyDescent="0.2">
      <c r="O89" s="13"/>
    </row>
    <row r="90" spans="15:15" x14ac:dyDescent="0.2">
      <c r="O90" s="13"/>
    </row>
    <row r="91" spans="15:15" x14ac:dyDescent="0.2">
      <c r="O91" s="13"/>
    </row>
    <row r="92" spans="15:15" x14ac:dyDescent="0.2">
      <c r="O92" s="13"/>
    </row>
    <row r="93" spans="15:15" x14ac:dyDescent="0.2">
      <c r="O93" s="13"/>
    </row>
  </sheetData>
  <mergeCells count="2">
    <mergeCell ref="A26:I26"/>
    <mergeCell ref="K26:L26"/>
  </mergeCells>
  <phoneticPr fontId="27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3DFF-B28F-4316-B9E6-76242A0AE999}">
  <sheetPr>
    <pageSetUpPr fitToPage="1"/>
  </sheetPr>
  <dimension ref="A1:Y112"/>
  <sheetViews>
    <sheetView workbookViewId="0">
      <selection activeCell="M34" sqref="M34"/>
    </sheetView>
  </sheetViews>
  <sheetFormatPr defaultRowHeight="15" x14ac:dyDescent="0.2"/>
  <cols>
    <col min="1" max="1" width="24.77734375" customWidth="1"/>
    <col min="2" max="2" width="8.109375" customWidth="1"/>
    <col min="3" max="3" width="20.5546875" hidden="1" customWidth="1"/>
    <col min="4" max="4" width="9.44140625" customWidth="1"/>
    <col min="5" max="5" width="7.88671875" hidden="1" customWidth="1"/>
    <col min="6" max="8" width="0" hidden="1" customWidth="1"/>
    <col min="9" max="9" width="8.33203125" hidden="1" customWidth="1"/>
    <col min="10" max="10" width="11" hidden="1" customWidth="1"/>
    <col min="11" max="11" width="10.44140625" hidden="1" customWidth="1"/>
    <col min="12" max="12" width="11.44140625" hidden="1" customWidth="1"/>
    <col min="13" max="13" width="10.88671875" customWidth="1"/>
    <col min="14" max="14" width="11" hidden="1" customWidth="1"/>
    <col min="15" max="15" width="10.44140625" style="12" customWidth="1"/>
    <col min="16" max="18" width="0" hidden="1" customWidth="1"/>
    <col min="19" max="19" width="10.44140625" hidden="1" customWidth="1"/>
    <col min="20" max="22" width="10.88671875" hidden="1" customWidth="1"/>
    <col min="23" max="23" width="10.77734375" hidden="1" customWidth="1"/>
    <col min="24" max="24" width="12.44140625" hidden="1" customWidth="1"/>
  </cols>
  <sheetData>
    <row r="1" spans="1:25" ht="44.25" customHeight="1" x14ac:dyDescent="0.2">
      <c r="A1" s="134" t="s">
        <v>357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</row>
    <row r="2" spans="1:25" hidden="1" x14ac:dyDescent="0.2">
      <c r="A2" s="26" t="s">
        <v>294</v>
      </c>
      <c r="O2"/>
    </row>
    <row r="3" spans="1:25" hidden="1" x14ac:dyDescent="0.2">
      <c r="A3" s="26" t="s">
        <v>295</v>
      </c>
      <c r="O3"/>
    </row>
    <row r="4" spans="1:25" hidden="1" x14ac:dyDescent="0.2">
      <c r="A4" s="26"/>
      <c r="O4"/>
    </row>
    <row r="5" spans="1:25" ht="15.75" hidden="1" x14ac:dyDescent="0.25">
      <c r="A5" s="26" t="s">
        <v>339</v>
      </c>
      <c r="O5"/>
    </row>
    <row r="6" spans="1:25" hidden="1" x14ac:dyDescent="0.2">
      <c r="A6" s="26"/>
      <c r="O6"/>
    </row>
    <row r="7" spans="1:25" ht="15.75" hidden="1" x14ac:dyDescent="0.25">
      <c r="A7" s="26" t="s">
        <v>319</v>
      </c>
      <c r="K7" s="3" t="s">
        <v>308</v>
      </c>
      <c r="L7" s="2" t="s">
        <v>226</v>
      </c>
      <c r="O7"/>
    </row>
    <row r="8" spans="1:25" ht="15.75" hidden="1" x14ac:dyDescent="0.25">
      <c r="A8" s="26"/>
      <c r="K8" s="26" t="s">
        <v>321</v>
      </c>
      <c r="L8" s="2">
        <v>1620</v>
      </c>
      <c r="O8"/>
    </row>
    <row r="9" spans="1:25" x14ac:dyDescent="0.2">
      <c r="A9" s="26"/>
      <c r="O9"/>
      <c r="S9" t="s">
        <v>341</v>
      </c>
    </row>
    <row r="10" spans="1:25" ht="63" x14ac:dyDescent="0.2">
      <c r="A10" s="39" t="s">
        <v>327</v>
      </c>
      <c r="B10" s="46" t="s">
        <v>328</v>
      </c>
      <c r="C10" s="32" t="s">
        <v>1</v>
      </c>
      <c r="D10" s="31" t="s">
        <v>300</v>
      </c>
      <c r="E10" s="32" t="s">
        <v>2</v>
      </c>
      <c r="F10" s="32" t="s">
        <v>3</v>
      </c>
      <c r="G10" s="32" t="s">
        <v>4</v>
      </c>
      <c r="H10" s="31" t="s">
        <v>299</v>
      </c>
      <c r="I10" s="32" t="s">
        <v>5</v>
      </c>
      <c r="J10" s="31" t="s">
        <v>227</v>
      </c>
      <c r="K10" s="31" t="s">
        <v>216</v>
      </c>
      <c r="L10" s="45" t="s">
        <v>217</v>
      </c>
      <c r="M10" s="40" t="s">
        <v>356</v>
      </c>
      <c r="N10" s="31" t="s">
        <v>329</v>
      </c>
      <c r="O10" s="31" t="s">
        <v>336</v>
      </c>
      <c r="P10" s="31" t="s">
        <v>347</v>
      </c>
      <c r="S10" s="40" t="s">
        <v>340</v>
      </c>
      <c r="T10" s="40" t="s">
        <v>342</v>
      </c>
      <c r="U10" s="40" t="s">
        <v>343</v>
      </c>
      <c r="V10" s="40" t="s">
        <v>344</v>
      </c>
      <c r="W10" s="40" t="s">
        <v>345</v>
      </c>
      <c r="X10" s="40" t="s">
        <v>346</v>
      </c>
    </row>
    <row r="11" spans="1:25" ht="15.75" x14ac:dyDescent="0.25">
      <c r="A11" s="3"/>
      <c r="B11" s="3"/>
      <c r="M11" s="3"/>
    </row>
    <row r="12" spans="1:25" ht="17.100000000000001" customHeight="1" x14ac:dyDescent="0.25">
      <c r="A12" s="3" t="s">
        <v>285</v>
      </c>
      <c r="B12" s="3"/>
      <c r="M12" s="3"/>
    </row>
    <row r="13" spans="1:25" ht="17.100000000000001" customHeight="1" x14ac:dyDescent="0.25">
      <c r="A13" s="18" t="s">
        <v>103</v>
      </c>
      <c r="B13" s="44">
        <v>5</v>
      </c>
      <c r="C13" s="12" t="s">
        <v>104</v>
      </c>
      <c r="D13" s="14">
        <v>32.159999999999997</v>
      </c>
      <c r="E13" s="14">
        <v>102.08</v>
      </c>
      <c r="F13" s="12">
        <v>14.29</v>
      </c>
      <c r="G13" s="12">
        <v>2.2999999999999998</v>
      </c>
      <c r="H13" s="53">
        <v>20.13</v>
      </c>
      <c r="I13" s="54" t="s">
        <v>102</v>
      </c>
      <c r="J13" s="14">
        <f t="shared" ref="J13:J34" si="0">SUM(H13*$L$8)</f>
        <v>32610.6</v>
      </c>
      <c r="K13" s="14">
        <f>SUM(J13*5%)</f>
        <v>1630.53</v>
      </c>
      <c r="L13" s="14">
        <f>SUM(K13/12)</f>
        <v>135.88</v>
      </c>
      <c r="M13" s="16">
        <v>38</v>
      </c>
      <c r="N13" s="12" t="s">
        <v>280</v>
      </c>
      <c r="O13" s="14">
        <f>SUM(Tabuľka9[[#This Row],[Stĺpec13]]-Tabuľka9[[#This Row],[Stĺpec4]])</f>
        <v>5.84</v>
      </c>
      <c r="P13" s="7">
        <f t="shared" ref="P13:P34" si="1">MROUND(M13,2)</f>
        <v>38</v>
      </c>
      <c r="S13" s="7">
        <f>Tabuľka9[[#This Row],[Stĺpec13]]*1.2</f>
        <v>45.6</v>
      </c>
      <c r="T13" s="7">
        <f>S13*1.2</f>
        <v>54.72</v>
      </c>
      <c r="U13" s="7">
        <f t="shared" ref="U13:X13" si="2">T13*1.2</f>
        <v>65.66</v>
      </c>
      <c r="V13" s="7">
        <f t="shared" si="2"/>
        <v>78.790000000000006</v>
      </c>
      <c r="W13" s="7">
        <f t="shared" si="2"/>
        <v>94.55</v>
      </c>
      <c r="X13" s="7">
        <f t="shared" si="2"/>
        <v>113.46</v>
      </c>
    </row>
    <row r="14" spans="1:25" ht="17.100000000000001" customHeight="1" x14ac:dyDescent="0.25">
      <c r="A14" s="18" t="s">
        <v>171</v>
      </c>
      <c r="B14" s="44">
        <v>32</v>
      </c>
      <c r="C14" s="12" t="s">
        <v>172</v>
      </c>
      <c r="D14" s="14">
        <v>73.91</v>
      </c>
      <c r="E14" s="14">
        <v>323.52</v>
      </c>
      <c r="F14" s="12">
        <v>42.43</v>
      </c>
      <c r="G14" s="12">
        <v>16.91</v>
      </c>
      <c r="H14" s="53">
        <v>62.38</v>
      </c>
      <c r="I14" s="54" t="s">
        <v>55</v>
      </c>
      <c r="J14" s="14">
        <f t="shared" si="0"/>
        <v>101055.6</v>
      </c>
      <c r="K14" s="14">
        <f t="shared" ref="K14:K34" si="3">SUM(J14*5%)</f>
        <v>5052.78</v>
      </c>
      <c r="L14" s="14">
        <f t="shared" ref="L14:L34" si="4">SUM(K14/12)</f>
        <v>421.07</v>
      </c>
      <c r="M14" s="16">
        <v>88</v>
      </c>
      <c r="N14" s="55" t="s">
        <v>330</v>
      </c>
      <c r="O14" s="14">
        <f>SUM(Tabuľka9[[#This Row],[Stĺpec13]]-Tabuľka9[[#This Row],[Stĺpec4]])</f>
        <v>14.09</v>
      </c>
      <c r="P14" s="7">
        <f t="shared" si="1"/>
        <v>88</v>
      </c>
      <c r="S14" s="7">
        <f>Tabuľka9[[#This Row],[Stĺpec13]]*1.2</f>
        <v>105.6</v>
      </c>
      <c r="T14" s="7">
        <f t="shared" ref="T14:X14" si="5">S14*1.2</f>
        <v>126.72</v>
      </c>
      <c r="U14" s="7">
        <f t="shared" si="5"/>
        <v>152.06</v>
      </c>
      <c r="V14" s="7">
        <f t="shared" si="5"/>
        <v>182.47</v>
      </c>
      <c r="W14" s="7">
        <f t="shared" si="5"/>
        <v>218.96</v>
      </c>
      <c r="X14" s="7">
        <f t="shared" si="5"/>
        <v>262.75</v>
      </c>
    </row>
    <row r="15" spans="1:25" ht="17.100000000000001" customHeight="1" x14ac:dyDescent="0.25">
      <c r="A15" s="18" t="s">
        <v>173</v>
      </c>
      <c r="B15" s="44">
        <v>27</v>
      </c>
      <c r="C15" s="12" t="s">
        <v>174</v>
      </c>
      <c r="D15" s="14">
        <v>43.87</v>
      </c>
      <c r="E15" s="14">
        <v>152.16999999999999</v>
      </c>
      <c r="F15" s="12">
        <v>16.38</v>
      </c>
      <c r="G15" s="12">
        <v>15.84</v>
      </c>
      <c r="H15" s="53">
        <v>35.78</v>
      </c>
      <c r="I15" s="54" t="s">
        <v>57</v>
      </c>
      <c r="J15" s="14">
        <f t="shared" si="0"/>
        <v>57963.6</v>
      </c>
      <c r="K15" s="14">
        <f t="shared" si="3"/>
        <v>2898.18</v>
      </c>
      <c r="L15" s="14">
        <f t="shared" si="4"/>
        <v>241.52</v>
      </c>
      <c r="M15" s="16">
        <v>52</v>
      </c>
      <c r="N15" s="55" t="s">
        <v>330</v>
      </c>
      <c r="O15" s="14">
        <f>SUM(Tabuľka9[[#This Row],[Stĺpec13]]-Tabuľka9[[#This Row],[Stĺpec4]])</f>
        <v>8.1300000000000008</v>
      </c>
      <c r="P15" s="7">
        <f t="shared" si="1"/>
        <v>52</v>
      </c>
      <c r="S15" s="7">
        <f>Tabuľka9[[#This Row],[Stĺpec13]]*1.2</f>
        <v>62.4</v>
      </c>
      <c r="T15" s="7">
        <f t="shared" ref="T15:X15" si="6">S15*1.2</f>
        <v>74.88</v>
      </c>
      <c r="U15" s="7">
        <f t="shared" si="6"/>
        <v>89.86</v>
      </c>
      <c r="V15" s="7">
        <f t="shared" si="6"/>
        <v>107.83</v>
      </c>
      <c r="W15" s="7">
        <f t="shared" si="6"/>
        <v>129.4</v>
      </c>
      <c r="X15" s="7">
        <f t="shared" si="6"/>
        <v>155.28</v>
      </c>
    </row>
    <row r="16" spans="1:25" ht="17.100000000000001" customHeight="1" x14ac:dyDescent="0.25">
      <c r="A16" s="18" t="s">
        <v>175</v>
      </c>
      <c r="B16" s="44">
        <v>5</v>
      </c>
      <c r="C16" s="12" t="s">
        <v>176</v>
      </c>
      <c r="D16" s="14">
        <v>58.7</v>
      </c>
      <c r="E16" s="14">
        <v>169.58</v>
      </c>
      <c r="F16" s="12">
        <v>30.46</v>
      </c>
      <c r="G16" s="12">
        <v>14.31</v>
      </c>
      <c r="H16" s="53">
        <v>48.24</v>
      </c>
      <c r="I16" s="54" t="s">
        <v>59</v>
      </c>
      <c r="J16" s="14">
        <f t="shared" si="0"/>
        <v>78148.800000000003</v>
      </c>
      <c r="K16" s="14">
        <f t="shared" si="3"/>
        <v>3907.44</v>
      </c>
      <c r="L16" s="14">
        <f t="shared" si="4"/>
        <v>325.62</v>
      </c>
      <c r="M16" s="16">
        <v>70</v>
      </c>
      <c r="N16" s="12" t="s">
        <v>280</v>
      </c>
      <c r="O16" s="14">
        <f>SUM(Tabuľka9[[#This Row],[Stĺpec13]]-Tabuľka9[[#This Row],[Stĺpec4]])</f>
        <v>11.3</v>
      </c>
      <c r="P16" s="7">
        <f t="shared" si="1"/>
        <v>70</v>
      </c>
      <c r="S16" s="7">
        <f>Tabuľka9[[#This Row],[Stĺpec13]]*1.2</f>
        <v>84</v>
      </c>
      <c r="T16" s="7">
        <f t="shared" ref="T16:X16" si="7">S16*1.2</f>
        <v>100.8</v>
      </c>
      <c r="U16" s="7">
        <f t="shared" si="7"/>
        <v>120.96</v>
      </c>
      <c r="V16" s="7">
        <f t="shared" si="7"/>
        <v>145.15</v>
      </c>
      <c r="W16" s="7">
        <f t="shared" si="7"/>
        <v>174.18</v>
      </c>
      <c r="X16" s="7">
        <f t="shared" si="7"/>
        <v>209.02</v>
      </c>
    </row>
    <row r="17" spans="1:24" ht="17.100000000000001" customHeight="1" x14ac:dyDescent="0.25">
      <c r="A17" s="18" t="s">
        <v>177</v>
      </c>
      <c r="B17" s="44">
        <v>8</v>
      </c>
      <c r="C17" s="12" t="s">
        <v>178</v>
      </c>
      <c r="D17" s="14">
        <v>58.7</v>
      </c>
      <c r="E17" s="14">
        <v>200.07</v>
      </c>
      <c r="F17" s="12">
        <v>30.46</v>
      </c>
      <c r="G17" s="12">
        <v>14.31</v>
      </c>
      <c r="H17" s="53">
        <v>48.24</v>
      </c>
      <c r="I17" s="54" t="s">
        <v>59</v>
      </c>
      <c r="J17" s="14">
        <f t="shared" si="0"/>
        <v>78148.800000000003</v>
      </c>
      <c r="K17" s="14">
        <f t="shared" si="3"/>
        <v>3907.44</v>
      </c>
      <c r="L17" s="14">
        <f t="shared" si="4"/>
        <v>325.62</v>
      </c>
      <c r="M17" s="16">
        <v>70</v>
      </c>
      <c r="N17" s="55" t="s">
        <v>330</v>
      </c>
      <c r="O17" s="14">
        <f>SUM(Tabuľka9[[#This Row],[Stĺpec13]]-Tabuľka9[[#This Row],[Stĺpec4]])</f>
        <v>11.3</v>
      </c>
      <c r="P17" s="7">
        <f t="shared" si="1"/>
        <v>70</v>
      </c>
      <c r="S17" s="7">
        <f>Tabuľka9[[#This Row],[Stĺpec13]]*1.2</f>
        <v>84</v>
      </c>
      <c r="T17" s="7">
        <f t="shared" ref="T17:X17" si="8">S17*1.2</f>
        <v>100.8</v>
      </c>
      <c r="U17" s="7">
        <f t="shared" si="8"/>
        <v>120.96</v>
      </c>
      <c r="V17" s="7">
        <f t="shared" si="8"/>
        <v>145.15</v>
      </c>
      <c r="W17" s="7">
        <f t="shared" si="8"/>
        <v>174.18</v>
      </c>
      <c r="X17" s="7">
        <f t="shared" si="8"/>
        <v>209.02</v>
      </c>
    </row>
    <row r="18" spans="1:24" ht="17.100000000000001" customHeight="1" x14ac:dyDescent="0.25">
      <c r="A18" s="18" t="s">
        <v>179</v>
      </c>
      <c r="B18" s="44">
        <v>4</v>
      </c>
      <c r="C18" s="12" t="s">
        <v>180</v>
      </c>
      <c r="D18" s="14">
        <v>78.3</v>
      </c>
      <c r="E18" s="14">
        <v>317.02999999999997</v>
      </c>
      <c r="F18" s="12">
        <v>43.57</v>
      </c>
      <c r="G18" s="12">
        <v>20.63</v>
      </c>
      <c r="H18" s="53">
        <v>70.47</v>
      </c>
      <c r="I18" s="54" t="s">
        <v>55</v>
      </c>
      <c r="J18" s="14">
        <f t="shared" si="0"/>
        <v>114161.4</v>
      </c>
      <c r="K18" s="14">
        <f t="shared" si="3"/>
        <v>5708.07</v>
      </c>
      <c r="L18" s="14">
        <f t="shared" si="4"/>
        <v>475.67</v>
      </c>
      <c r="M18" s="16">
        <v>93</v>
      </c>
      <c r="N18" s="55" t="s">
        <v>330</v>
      </c>
      <c r="O18" s="14">
        <f>SUM(Tabuľka9[[#This Row],[Stĺpec13]]-Tabuľka9[[#This Row],[Stĺpec4]])</f>
        <v>14.7</v>
      </c>
      <c r="P18" s="7">
        <v>93</v>
      </c>
      <c r="S18" s="7">
        <f>Tabuľka9[[#This Row],[Stĺpec13]]*1.2</f>
        <v>111.6</v>
      </c>
      <c r="T18" s="7">
        <f t="shared" ref="T18:X18" si="9">S18*1.2</f>
        <v>133.91999999999999</v>
      </c>
      <c r="U18" s="7">
        <f t="shared" si="9"/>
        <v>160.69999999999999</v>
      </c>
      <c r="V18" s="7">
        <f t="shared" si="9"/>
        <v>192.84</v>
      </c>
      <c r="W18" s="7">
        <f t="shared" si="9"/>
        <v>231.41</v>
      </c>
      <c r="X18" s="7">
        <f t="shared" si="9"/>
        <v>277.69</v>
      </c>
    </row>
    <row r="19" spans="1:24" ht="17.100000000000001" customHeight="1" x14ac:dyDescent="0.25">
      <c r="A19" s="18" t="s">
        <v>181</v>
      </c>
      <c r="B19" s="44">
        <v>9</v>
      </c>
      <c r="C19" s="12" t="s">
        <v>182</v>
      </c>
      <c r="D19" s="14">
        <v>58.42</v>
      </c>
      <c r="E19" s="14">
        <v>242.42</v>
      </c>
      <c r="F19" s="12">
        <v>29.57</v>
      </c>
      <c r="G19" s="12">
        <v>14.27</v>
      </c>
      <c r="H19" s="53">
        <v>48.23</v>
      </c>
      <c r="I19" s="54" t="s">
        <v>59</v>
      </c>
      <c r="J19" s="14">
        <f t="shared" si="0"/>
        <v>78132.600000000006</v>
      </c>
      <c r="K19" s="14">
        <f t="shared" si="3"/>
        <v>3906.63</v>
      </c>
      <c r="L19" s="14">
        <f t="shared" si="4"/>
        <v>325.55</v>
      </c>
      <c r="M19" s="16">
        <v>70</v>
      </c>
      <c r="N19" s="55" t="s">
        <v>330</v>
      </c>
      <c r="O19" s="14">
        <f>SUM(Tabuľka9[[#This Row],[Stĺpec13]]-Tabuľka9[[#This Row],[Stĺpec4]])</f>
        <v>11.58</v>
      </c>
      <c r="P19" s="7">
        <f t="shared" si="1"/>
        <v>70</v>
      </c>
      <c r="S19" s="7">
        <f>Tabuľka9[[#This Row],[Stĺpec13]]*1.2</f>
        <v>84</v>
      </c>
      <c r="T19" s="7">
        <f t="shared" ref="T19:X19" si="10">S19*1.2</f>
        <v>100.8</v>
      </c>
      <c r="U19" s="7">
        <f t="shared" si="10"/>
        <v>120.96</v>
      </c>
      <c r="V19" s="7">
        <f t="shared" si="10"/>
        <v>145.15</v>
      </c>
      <c r="W19" s="7">
        <f t="shared" si="10"/>
        <v>174.18</v>
      </c>
      <c r="X19" s="7">
        <f t="shared" si="10"/>
        <v>209.02</v>
      </c>
    </row>
    <row r="20" spans="1:24" ht="17.100000000000001" customHeight="1" x14ac:dyDescent="0.25">
      <c r="A20" s="18" t="s">
        <v>183</v>
      </c>
      <c r="B20" s="44">
        <v>13</v>
      </c>
      <c r="C20" s="12" t="s">
        <v>184</v>
      </c>
      <c r="D20" s="14">
        <v>35.89</v>
      </c>
      <c r="E20" s="14">
        <v>117.76</v>
      </c>
      <c r="F20" s="12">
        <v>12.23</v>
      </c>
      <c r="G20" s="12">
        <v>14.03</v>
      </c>
      <c r="H20" s="53">
        <v>29.98</v>
      </c>
      <c r="I20" s="54" t="s">
        <v>57</v>
      </c>
      <c r="J20" s="14">
        <f t="shared" si="0"/>
        <v>48567.6</v>
      </c>
      <c r="K20" s="14">
        <f t="shared" si="3"/>
        <v>2428.38</v>
      </c>
      <c r="L20" s="14">
        <f t="shared" si="4"/>
        <v>202.37</v>
      </c>
      <c r="M20" s="16">
        <v>43</v>
      </c>
      <c r="N20" s="55" t="s">
        <v>330</v>
      </c>
      <c r="O20" s="14">
        <f>SUM(Tabuľka9[[#This Row],[Stĺpec13]]-Tabuľka9[[#This Row],[Stĺpec4]])</f>
        <v>7.11</v>
      </c>
      <c r="P20" s="7">
        <v>43</v>
      </c>
      <c r="S20" s="7">
        <f>Tabuľka9[[#This Row],[Stĺpec13]]*1.2</f>
        <v>51.6</v>
      </c>
      <c r="T20" s="7">
        <f t="shared" ref="T20:X20" si="11">S20*1.2</f>
        <v>61.92</v>
      </c>
      <c r="U20" s="7">
        <f t="shared" si="11"/>
        <v>74.3</v>
      </c>
      <c r="V20" s="7">
        <f t="shared" si="11"/>
        <v>89.16</v>
      </c>
      <c r="W20" s="7">
        <f t="shared" si="11"/>
        <v>106.99</v>
      </c>
      <c r="X20" s="7">
        <f t="shared" si="11"/>
        <v>128.38999999999999</v>
      </c>
    </row>
    <row r="21" spans="1:24" ht="17.100000000000001" customHeight="1" x14ac:dyDescent="0.25">
      <c r="A21" s="18" t="s">
        <v>185</v>
      </c>
      <c r="B21" s="44">
        <v>2</v>
      </c>
      <c r="C21" s="12" t="s">
        <v>186</v>
      </c>
      <c r="D21" s="14">
        <v>43.83</v>
      </c>
      <c r="E21" s="14">
        <v>133.55000000000001</v>
      </c>
      <c r="F21" s="12">
        <v>19.14</v>
      </c>
      <c r="G21" s="12">
        <v>13.94</v>
      </c>
      <c r="H21" s="53">
        <v>36.799999999999997</v>
      </c>
      <c r="I21" s="54" t="s">
        <v>57</v>
      </c>
      <c r="J21" s="14">
        <f t="shared" si="0"/>
        <v>59616</v>
      </c>
      <c r="K21" s="14">
        <f t="shared" si="3"/>
        <v>2980.8</v>
      </c>
      <c r="L21" s="14">
        <f t="shared" si="4"/>
        <v>248.4</v>
      </c>
      <c r="M21" s="16">
        <v>52</v>
      </c>
      <c r="N21" s="12" t="s">
        <v>280</v>
      </c>
      <c r="O21" s="14">
        <f>SUM(Tabuľka9[[#This Row],[Stĺpec13]]-Tabuľka9[[#This Row],[Stĺpec4]])</f>
        <v>8.17</v>
      </c>
      <c r="P21" s="7">
        <f t="shared" si="1"/>
        <v>52</v>
      </c>
      <c r="S21" s="7">
        <f>Tabuľka9[[#This Row],[Stĺpec13]]*1.2</f>
        <v>62.4</v>
      </c>
      <c r="T21" s="7">
        <f t="shared" ref="T21:X21" si="12">S21*1.2</f>
        <v>74.88</v>
      </c>
      <c r="U21" s="7">
        <f t="shared" si="12"/>
        <v>89.86</v>
      </c>
      <c r="V21" s="7">
        <f t="shared" si="12"/>
        <v>107.83</v>
      </c>
      <c r="W21" s="7">
        <f t="shared" si="12"/>
        <v>129.4</v>
      </c>
      <c r="X21" s="7">
        <f t="shared" si="12"/>
        <v>155.28</v>
      </c>
    </row>
    <row r="22" spans="1:24" ht="17.100000000000001" customHeight="1" x14ac:dyDescent="0.25">
      <c r="A22" s="18" t="s">
        <v>185</v>
      </c>
      <c r="B22" s="44">
        <v>8</v>
      </c>
      <c r="C22" s="12" t="s">
        <v>187</v>
      </c>
      <c r="D22" s="14">
        <v>35.89</v>
      </c>
      <c r="E22" s="14">
        <v>155.27000000000001</v>
      </c>
      <c r="F22" s="12">
        <v>12.23</v>
      </c>
      <c r="G22" s="12">
        <v>14.03</v>
      </c>
      <c r="H22" s="53">
        <v>29.98</v>
      </c>
      <c r="I22" s="54" t="s">
        <v>57</v>
      </c>
      <c r="J22" s="14">
        <f t="shared" si="0"/>
        <v>48567.6</v>
      </c>
      <c r="K22" s="14">
        <f t="shared" si="3"/>
        <v>2428.38</v>
      </c>
      <c r="L22" s="14">
        <f t="shared" si="4"/>
        <v>202.37</v>
      </c>
      <c r="M22" s="16">
        <v>43</v>
      </c>
      <c r="N22" s="12" t="s">
        <v>280</v>
      </c>
      <c r="O22" s="14">
        <f>SUM(Tabuľka9[[#This Row],[Stĺpec13]]-Tabuľka9[[#This Row],[Stĺpec4]])</f>
        <v>7.11</v>
      </c>
      <c r="P22" s="7">
        <v>43</v>
      </c>
      <c r="S22" s="7">
        <f>Tabuľka9[[#This Row],[Stĺpec13]]*1.2</f>
        <v>51.6</v>
      </c>
      <c r="T22" s="7">
        <f t="shared" ref="T22:X22" si="13">S22*1.2</f>
        <v>61.92</v>
      </c>
      <c r="U22" s="7">
        <f t="shared" si="13"/>
        <v>74.3</v>
      </c>
      <c r="V22" s="7">
        <f t="shared" si="13"/>
        <v>89.16</v>
      </c>
      <c r="W22" s="7">
        <f t="shared" si="13"/>
        <v>106.99</v>
      </c>
      <c r="X22" s="7">
        <f t="shared" si="13"/>
        <v>128.38999999999999</v>
      </c>
    </row>
    <row r="23" spans="1:24" ht="17.100000000000001" customHeight="1" x14ac:dyDescent="0.25">
      <c r="A23" s="18" t="s">
        <v>185</v>
      </c>
      <c r="B23" s="44">
        <v>16</v>
      </c>
      <c r="C23" s="12" t="s">
        <v>188</v>
      </c>
      <c r="D23" s="14">
        <v>35.89</v>
      </c>
      <c r="E23" s="14">
        <v>100.31</v>
      </c>
      <c r="F23" s="12">
        <v>12.23</v>
      </c>
      <c r="G23" s="12">
        <v>14.03</v>
      </c>
      <c r="H23" s="53">
        <v>29.98</v>
      </c>
      <c r="I23" s="54" t="s">
        <v>57</v>
      </c>
      <c r="J23" s="14">
        <f t="shared" si="0"/>
        <v>48567.6</v>
      </c>
      <c r="K23" s="14">
        <f t="shared" si="3"/>
        <v>2428.38</v>
      </c>
      <c r="L23" s="14">
        <f t="shared" si="4"/>
        <v>202.37</v>
      </c>
      <c r="M23" s="16">
        <v>43</v>
      </c>
      <c r="N23" s="12" t="s">
        <v>280</v>
      </c>
      <c r="O23" s="14">
        <f>SUM(Tabuľka9[[#This Row],[Stĺpec13]]-Tabuľka9[[#This Row],[Stĺpec4]])</f>
        <v>7.11</v>
      </c>
      <c r="P23" s="7">
        <v>43</v>
      </c>
      <c r="S23" s="7">
        <f>Tabuľka9[[#This Row],[Stĺpec13]]*1.2</f>
        <v>51.6</v>
      </c>
      <c r="T23" s="7">
        <f t="shared" ref="T23:X23" si="14">S23*1.2</f>
        <v>61.92</v>
      </c>
      <c r="U23" s="7">
        <f t="shared" si="14"/>
        <v>74.3</v>
      </c>
      <c r="V23" s="7">
        <f t="shared" si="14"/>
        <v>89.16</v>
      </c>
      <c r="W23" s="7">
        <f t="shared" si="14"/>
        <v>106.99</v>
      </c>
      <c r="X23" s="7">
        <f t="shared" si="14"/>
        <v>128.38999999999999</v>
      </c>
    </row>
    <row r="24" spans="1:24" ht="17.100000000000001" customHeight="1" x14ac:dyDescent="0.25">
      <c r="A24" s="18" t="s">
        <v>185</v>
      </c>
      <c r="B24" s="44">
        <v>18</v>
      </c>
      <c r="C24" s="12" t="s">
        <v>189</v>
      </c>
      <c r="D24" s="14">
        <v>43.83</v>
      </c>
      <c r="E24" s="14">
        <v>144.26</v>
      </c>
      <c r="F24" s="12">
        <v>19.14</v>
      </c>
      <c r="G24" s="12">
        <v>13.94</v>
      </c>
      <c r="H24" s="53">
        <v>36.799999999999997</v>
      </c>
      <c r="I24" s="54" t="s">
        <v>57</v>
      </c>
      <c r="J24" s="14">
        <f t="shared" si="0"/>
        <v>59616</v>
      </c>
      <c r="K24" s="14">
        <f t="shared" si="3"/>
        <v>2980.8</v>
      </c>
      <c r="L24" s="14">
        <f t="shared" si="4"/>
        <v>248.4</v>
      </c>
      <c r="M24" s="16">
        <v>52</v>
      </c>
      <c r="N24" s="55" t="s">
        <v>330</v>
      </c>
      <c r="O24" s="14">
        <f>SUM(Tabuľka9[[#This Row],[Stĺpec13]]-Tabuľka9[[#This Row],[Stĺpec4]])</f>
        <v>8.17</v>
      </c>
      <c r="P24" s="7">
        <f t="shared" si="1"/>
        <v>52</v>
      </c>
      <c r="S24" s="7">
        <f>Tabuľka9[[#This Row],[Stĺpec13]]*1.2</f>
        <v>62.4</v>
      </c>
      <c r="T24" s="7">
        <f t="shared" ref="T24:X24" si="15">S24*1.2</f>
        <v>74.88</v>
      </c>
      <c r="U24" s="7">
        <f t="shared" si="15"/>
        <v>89.86</v>
      </c>
      <c r="V24" s="7">
        <f t="shared" si="15"/>
        <v>107.83</v>
      </c>
      <c r="W24" s="7">
        <f t="shared" si="15"/>
        <v>129.4</v>
      </c>
      <c r="X24" s="7">
        <f t="shared" si="15"/>
        <v>155.28</v>
      </c>
    </row>
    <row r="25" spans="1:24" ht="17.100000000000001" customHeight="1" x14ac:dyDescent="0.25">
      <c r="A25" s="18" t="s">
        <v>190</v>
      </c>
      <c r="B25" s="44">
        <v>2</v>
      </c>
      <c r="C25" s="12" t="s">
        <v>191</v>
      </c>
      <c r="D25" s="14">
        <v>43.87</v>
      </c>
      <c r="E25" s="14">
        <v>253.27</v>
      </c>
      <c r="F25" s="12">
        <v>15.87</v>
      </c>
      <c r="G25" s="12">
        <v>15.98</v>
      </c>
      <c r="H25" s="53">
        <v>35.39</v>
      </c>
      <c r="I25" s="54" t="s">
        <v>57</v>
      </c>
      <c r="J25" s="14">
        <f t="shared" si="0"/>
        <v>57331.8</v>
      </c>
      <c r="K25" s="14">
        <f t="shared" si="3"/>
        <v>2866.59</v>
      </c>
      <c r="L25" s="14">
        <f t="shared" si="4"/>
        <v>238.88</v>
      </c>
      <c r="M25" s="16">
        <v>52</v>
      </c>
      <c r="N25" s="12" t="s">
        <v>280</v>
      </c>
      <c r="O25" s="14">
        <f>SUM(Tabuľka9[[#This Row],[Stĺpec13]]-Tabuľka9[[#This Row],[Stĺpec4]])</f>
        <v>8.1300000000000008</v>
      </c>
      <c r="P25" s="7">
        <f t="shared" si="1"/>
        <v>52</v>
      </c>
      <c r="S25" s="7">
        <f>Tabuľka9[[#This Row],[Stĺpec13]]*1.2</f>
        <v>62.4</v>
      </c>
      <c r="T25" s="7">
        <f t="shared" ref="T25:X25" si="16">S25*1.2</f>
        <v>74.88</v>
      </c>
      <c r="U25" s="7">
        <f t="shared" si="16"/>
        <v>89.86</v>
      </c>
      <c r="V25" s="7">
        <f t="shared" si="16"/>
        <v>107.83</v>
      </c>
      <c r="W25" s="7">
        <f t="shared" si="16"/>
        <v>129.4</v>
      </c>
      <c r="X25" s="7">
        <f t="shared" si="16"/>
        <v>155.28</v>
      </c>
    </row>
    <row r="26" spans="1:24" ht="17.100000000000001" customHeight="1" x14ac:dyDescent="0.25">
      <c r="A26" s="18" t="s">
        <v>200</v>
      </c>
      <c r="B26" s="44">
        <v>5</v>
      </c>
      <c r="C26" s="12" t="s">
        <v>201</v>
      </c>
      <c r="D26" s="14">
        <v>64.680000000000007</v>
      </c>
      <c r="E26" s="14">
        <v>249.14</v>
      </c>
      <c r="F26" s="12">
        <v>32.340000000000003</v>
      </c>
      <c r="G26" s="12">
        <v>21.19</v>
      </c>
      <c r="H26" s="53">
        <v>58.54</v>
      </c>
      <c r="I26" s="54" t="s">
        <v>59</v>
      </c>
      <c r="J26" s="14">
        <f t="shared" si="0"/>
        <v>94834.8</v>
      </c>
      <c r="K26" s="14">
        <f t="shared" si="3"/>
        <v>4741.74</v>
      </c>
      <c r="L26" s="14">
        <f t="shared" si="4"/>
        <v>395.15</v>
      </c>
      <c r="M26" s="16">
        <v>77</v>
      </c>
      <c r="N26" s="55" t="s">
        <v>330</v>
      </c>
      <c r="O26" s="14">
        <f>SUM(Tabuľka9[[#This Row],[Stĺpec13]]-Tabuľka9[[#This Row],[Stĺpec4]])</f>
        <v>12.32</v>
      </c>
      <c r="P26" s="7">
        <v>77</v>
      </c>
      <c r="S26" s="7">
        <f>Tabuľka9[[#This Row],[Stĺpec13]]*1.2</f>
        <v>92.4</v>
      </c>
      <c r="T26" s="7">
        <f t="shared" ref="T26:X26" si="17">S26*1.2</f>
        <v>110.88</v>
      </c>
      <c r="U26" s="7">
        <f t="shared" si="17"/>
        <v>133.06</v>
      </c>
      <c r="V26" s="7">
        <f t="shared" si="17"/>
        <v>159.66999999999999</v>
      </c>
      <c r="W26" s="7">
        <f t="shared" si="17"/>
        <v>191.6</v>
      </c>
      <c r="X26" s="7">
        <f t="shared" si="17"/>
        <v>229.92</v>
      </c>
    </row>
    <row r="27" spans="1:24" ht="17.100000000000001" customHeight="1" x14ac:dyDescent="0.25">
      <c r="A27" s="18" t="s">
        <v>202</v>
      </c>
      <c r="B27" s="44">
        <v>11</v>
      </c>
      <c r="C27" s="12" t="s">
        <v>203</v>
      </c>
      <c r="D27" s="14">
        <v>61.57</v>
      </c>
      <c r="E27" s="14">
        <v>315.02999999999997</v>
      </c>
      <c r="F27" s="12">
        <v>33.46</v>
      </c>
      <c r="G27" s="12">
        <v>13.18</v>
      </c>
      <c r="H27" s="53">
        <v>49.46</v>
      </c>
      <c r="I27" s="54" t="s">
        <v>59</v>
      </c>
      <c r="J27" s="14">
        <f t="shared" si="0"/>
        <v>80125.2</v>
      </c>
      <c r="K27" s="14">
        <f t="shared" si="3"/>
        <v>4006.26</v>
      </c>
      <c r="L27" s="14">
        <f t="shared" si="4"/>
        <v>333.86</v>
      </c>
      <c r="M27" s="16">
        <v>73</v>
      </c>
      <c r="N27" s="12" t="s">
        <v>280</v>
      </c>
      <c r="O27" s="14">
        <f>SUM(Tabuľka9[[#This Row],[Stĺpec13]]-Tabuľka9[[#This Row],[Stĺpec4]])</f>
        <v>11.43</v>
      </c>
      <c r="P27" s="7">
        <v>73</v>
      </c>
      <c r="S27" s="7">
        <f>Tabuľka9[[#This Row],[Stĺpec13]]*1.2</f>
        <v>87.6</v>
      </c>
      <c r="T27" s="7">
        <f t="shared" ref="T27:X27" si="18">S27*1.2</f>
        <v>105.12</v>
      </c>
      <c r="U27" s="7">
        <f t="shared" si="18"/>
        <v>126.14</v>
      </c>
      <c r="V27" s="7">
        <f t="shared" si="18"/>
        <v>151.37</v>
      </c>
      <c r="W27" s="7">
        <f t="shared" si="18"/>
        <v>181.64</v>
      </c>
      <c r="X27" s="7">
        <f t="shared" si="18"/>
        <v>217.97</v>
      </c>
    </row>
    <row r="28" spans="1:24" ht="17.100000000000001" customHeight="1" x14ac:dyDescent="0.25">
      <c r="A28" s="18" t="s">
        <v>204</v>
      </c>
      <c r="B28" s="44">
        <v>4</v>
      </c>
      <c r="C28" s="12" t="s">
        <v>205</v>
      </c>
      <c r="D28" s="14">
        <v>59.15</v>
      </c>
      <c r="E28" s="14">
        <v>394.87</v>
      </c>
      <c r="F28" s="12">
        <v>29.39</v>
      </c>
      <c r="G28" s="12">
        <v>16.68</v>
      </c>
      <c r="H28" s="53">
        <v>49.07</v>
      </c>
      <c r="I28" s="54" t="s">
        <v>59</v>
      </c>
      <c r="J28" s="14">
        <f t="shared" si="0"/>
        <v>79493.399999999994</v>
      </c>
      <c r="K28" s="14">
        <f t="shared" si="3"/>
        <v>3974.67</v>
      </c>
      <c r="L28" s="14">
        <f t="shared" si="4"/>
        <v>331.22</v>
      </c>
      <c r="M28" s="16">
        <v>70</v>
      </c>
      <c r="N28" s="12" t="s">
        <v>280</v>
      </c>
      <c r="O28" s="14">
        <f>SUM(Tabuľka9[[#This Row],[Stĺpec13]]-Tabuľka9[[#This Row],[Stĺpec4]])</f>
        <v>10.85</v>
      </c>
      <c r="P28" s="7">
        <f t="shared" si="1"/>
        <v>70</v>
      </c>
      <c r="S28" s="7">
        <f>Tabuľka9[[#This Row],[Stĺpec13]]*1.2</f>
        <v>84</v>
      </c>
      <c r="T28" s="7">
        <f t="shared" ref="T28:X28" si="19">S28*1.2</f>
        <v>100.8</v>
      </c>
      <c r="U28" s="7">
        <f t="shared" si="19"/>
        <v>120.96</v>
      </c>
      <c r="V28" s="7">
        <f t="shared" si="19"/>
        <v>145.15</v>
      </c>
      <c r="W28" s="7">
        <f t="shared" si="19"/>
        <v>174.18</v>
      </c>
      <c r="X28" s="7">
        <f t="shared" si="19"/>
        <v>209.02</v>
      </c>
    </row>
    <row r="29" spans="1:24" ht="17.100000000000001" customHeight="1" x14ac:dyDescent="0.25">
      <c r="A29" s="18" t="s">
        <v>206</v>
      </c>
      <c r="B29" s="44">
        <v>1</v>
      </c>
      <c r="C29" s="12" t="s">
        <v>207</v>
      </c>
      <c r="D29" s="14">
        <v>58.02</v>
      </c>
      <c r="E29" s="14">
        <v>161.35</v>
      </c>
      <c r="F29" s="12">
        <v>27.51</v>
      </c>
      <c r="G29" s="12">
        <v>16.68</v>
      </c>
      <c r="H29" s="53">
        <v>47.19</v>
      </c>
      <c r="I29" s="54" t="s">
        <v>59</v>
      </c>
      <c r="J29" s="14">
        <f t="shared" si="0"/>
        <v>76447.8</v>
      </c>
      <c r="K29" s="14">
        <f t="shared" si="3"/>
        <v>3822.39</v>
      </c>
      <c r="L29" s="14">
        <f t="shared" si="4"/>
        <v>318.52999999999997</v>
      </c>
      <c r="M29" s="16">
        <v>69</v>
      </c>
      <c r="N29" s="55" t="s">
        <v>330</v>
      </c>
      <c r="O29" s="14">
        <f>SUM(Tabuľka9[[#This Row],[Stĺpec13]]-Tabuľka9[[#This Row],[Stĺpec4]])</f>
        <v>10.98</v>
      </c>
      <c r="P29" s="7">
        <v>69</v>
      </c>
      <c r="S29" s="7">
        <f>Tabuľka9[[#This Row],[Stĺpec13]]*1.2</f>
        <v>82.8</v>
      </c>
      <c r="T29" s="7">
        <f t="shared" ref="T29:X29" si="20">S29*1.2</f>
        <v>99.36</v>
      </c>
      <c r="U29" s="7">
        <f t="shared" si="20"/>
        <v>119.23</v>
      </c>
      <c r="V29" s="7">
        <f t="shared" si="20"/>
        <v>143.08000000000001</v>
      </c>
      <c r="W29" s="7">
        <f t="shared" si="20"/>
        <v>171.7</v>
      </c>
      <c r="X29" s="7">
        <f t="shared" si="20"/>
        <v>206.04</v>
      </c>
    </row>
    <row r="30" spans="1:24" ht="17.100000000000001" customHeight="1" x14ac:dyDescent="0.25">
      <c r="A30" s="18" t="s">
        <v>208</v>
      </c>
      <c r="B30" s="44">
        <v>1</v>
      </c>
      <c r="C30" s="12" t="s">
        <v>209</v>
      </c>
      <c r="D30" s="14">
        <v>42.13</v>
      </c>
      <c r="E30" s="14">
        <v>109.68</v>
      </c>
      <c r="F30" s="12">
        <v>14.06</v>
      </c>
      <c r="G30" s="12">
        <v>16.68</v>
      </c>
      <c r="H30" s="53">
        <v>33.74</v>
      </c>
      <c r="I30" s="54" t="s">
        <v>57</v>
      </c>
      <c r="J30" s="14">
        <f t="shared" si="0"/>
        <v>54658.8</v>
      </c>
      <c r="K30" s="14">
        <f t="shared" si="3"/>
        <v>2732.94</v>
      </c>
      <c r="L30" s="14">
        <f t="shared" si="4"/>
        <v>227.75</v>
      </c>
      <c r="M30" s="16">
        <v>50</v>
      </c>
      <c r="N30" s="55" t="s">
        <v>330</v>
      </c>
      <c r="O30" s="14">
        <f>SUM(Tabuľka9[[#This Row],[Stĺpec13]]-Tabuľka9[[#This Row],[Stĺpec4]])</f>
        <v>7.87</v>
      </c>
      <c r="P30" s="7">
        <f t="shared" si="1"/>
        <v>50</v>
      </c>
      <c r="S30" s="7">
        <f>Tabuľka9[[#This Row],[Stĺpec13]]*1.2</f>
        <v>60</v>
      </c>
      <c r="T30" s="7">
        <f t="shared" ref="T30:X30" si="21">S30*1.2</f>
        <v>72</v>
      </c>
      <c r="U30" s="7">
        <f t="shared" si="21"/>
        <v>86.4</v>
      </c>
      <c r="V30" s="7">
        <f t="shared" si="21"/>
        <v>103.68</v>
      </c>
      <c r="W30" s="7">
        <f t="shared" si="21"/>
        <v>124.42</v>
      </c>
      <c r="X30" s="7">
        <f t="shared" si="21"/>
        <v>149.30000000000001</v>
      </c>
    </row>
    <row r="31" spans="1:24" ht="17.100000000000001" customHeight="1" x14ac:dyDescent="0.25">
      <c r="A31" s="18" t="s">
        <v>228</v>
      </c>
      <c r="B31" s="44">
        <v>3</v>
      </c>
      <c r="C31" s="12" t="s">
        <v>8</v>
      </c>
      <c r="D31" s="14">
        <v>63.09</v>
      </c>
      <c r="E31" s="14">
        <v>167.31</v>
      </c>
      <c r="F31" s="12">
        <v>55.51</v>
      </c>
      <c r="G31" s="12">
        <v>21</v>
      </c>
      <c r="H31" s="53">
        <v>76.510000000000005</v>
      </c>
      <c r="I31" s="54" t="s">
        <v>59</v>
      </c>
      <c r="J31" s="14">
        <f t="shared" si="0"/>
        <v>123946.2</v>
      </c>
      <c r="K31" s="14">
        <f t="shared" si="3"/>
        <v>6197.31</v>
      </c>
      <c r="L31" s="14">
        <f t="shared" si="4"/>
        <v>516.44000000000005</v>
      </c>
      <c r="M31" s="16">
        <v>75</v>
      </c>
      <c r="N31" s="55" t="s">
        <v>330</v>
      </c>
      <c r="O31" s="14">
        <f>SUM(Tabuľka9[[#This Row],[Stĺpec13]]-Tabuľka9[[#This Row],[Stĺpec4]])</f>
        <v>11.91</v>
      </c>
      <c r="P31" s="7">
        <v>75</v>
      </c>
      <c r="S31" s="7">
        <f>Tabuľka9[[#This Row],[Stĺpec13]]*1.2</f>
        <v>90</v>
      </c>
      <c r="T31" s="7">
        <f t="shared" ref="T31:X31" si="22">S31*1.2</f>
        <v>108</v>
      </c>
      <c r="U31" s="7">
        <f t="shared" si="22"/>
        <v>129.6</v>
      </c>
      <c r="V31" s="7">
        <f t="shared" si="22"/>
        <v>155.52000000000001</v>
      </c>
      <c r="W31" s="7">
        <f t="shared" si="22"/>
        <v>186.62</v>
      </c>
      <c r="X31" s="7">
        <f t="shared" si="22"/>
        <v>223.94</v>
      </c>
    </row>
    <row r="32" spans="1:24" ht="17.100000000000001" customHeight="1" x14ac:dyDescent="0.25">
      <c r="A32" s="18" t="s">
        <v>210</v>
      </c>
      <c r="B32" s="44">
        <v>5</v>
      </c>
      <c r="C32" s="12" t="s">
        <v>211</v>
      </c>
      <c r="D32" s="14">
        <v>78.3</v>
      </c>
      <c r="E32" s="14">
        <v>282.66000000000003</v>
      </c>
      <c r="F32" s="12">
        <v>43.57</v>
      </c>
      <c r="G32" s="12">
        <v>20.67</v>
      </c>
      <c r="H32" s="53">
        <v>68.2</v>
      </c>
      <c r="I32" s="54" t="s">
        <v>55</v>
      </c>
      <c r="J32" s="14">
        <f t="shared" si="0"/>
        <v>110484</v>
      </c>
      <c r="K32" s="14">
        <f t="shared" si="3"/>
        <v>5524.2</v>
      </c>
      <c r="L32" s="14">
        <f t="shared" si="4"/>
        <v>460.35</v>
      </c>
      <c r="M32" s="16">
        <v>93</v>
      </c>
      <c r="N32" s="55" t="s">
        <v>330</v>
      </c>
      <c r="O32" s="14">
        <f>SUM(Tabuľka9[[#This Row],[Stĺpec13]]-Tabuľka9[[#This Row],[Stĺpec4]])</f>
        <v>14.7</v>
      </c>
      <c r="P32" s="7">
        <v>93</v>
      </c>
      <c r="S32" s="7">
        <f>Tabuľka9[[#This Row],[Stĺpec13]]*1.2</f>
        <v>111.6</v>
      </c>
      <c r="T32" s="7">
        <f t="shared" ref="T32:X32" si="23">S32*1.2</f>
        <v>133.91999999999999</v>
      </c>
      <c r="U32" s="7">
        <f t="shared" si="23"/>
        <v>160.69999999999999</v>
      </c>
      <c r="V32" s="7">
        <f t="shared" si="23"/>
        <v>192.84</v>
      </c>
      <c r="W32" s="7">
        <f t="shared" si="23"/>
        <v>231.41</v>
      </c>
      <c r="X32" s="7">
        <f t="shared" si="23"/>
        <v>277.69</v>
      </c>
    </row>
    <row r="33" spans="1:24" ht="17.100000000000001" customHeight="1" x14ac:dyDescent="0.25">
      <c r="A33" s="18" t="s">
        <v>212</v>
      </c>
      <c r="B33" s="44">
        <v>18</v>
      </c>
      <c r="C33" s="12" t="s">
        <v>213</v>
      </c>
      <c r="D33" s="14">
        <v>61.95</v>
      </c>
      <c r="E33" s="14">
        <v>194.33</v>
      </c>
      <c r="F33" s="12">
        <v>30.9</v>
      </c>
      <c r="G33" s="12">
        <v>18.12</v>
      </c>
      <c r="H33" s="53">
        <v>52.98</v>
      </c>
      <c r="I33" s="54" t="s">
        <v>59</v>
      </c>
      <c r="J33" s="14">
        <f t="shared" si="0"/>
        <v>85827.6</v>
      </c>
      <c r="K33" s="14">
        <f t="shared" si="3"/>
        <v>4291.38</v>
      </c>
      <c r="L33" s="14">
        <f t="shared" si="4"/>
        <v>357.62</v>
      </c>
      <c r="M33" s="16">
        <v>74</v>
      </c>
      <c r="N33" s="55" t="s">
        <v>330</v>
      </c>
      <c r="O33" s="14">
        <f>SUM(Tabuľka9[[#This Row],[Stĺpec13]]-Tabuľka9[[#This Row],[Stĺpec4]])</f>
        <v>12.05</v>
      </c>
      <c r="P33" s="7">
        <f t="shared" si="1"/>
        <v>74</v>
      </c>
      <c r="S33" s="7">
        <f>Tabuľka9[[#This Row],[Stĺpec13]]*1.2</f>
        <v>88.8</v>
      </c>
      <c r="T33" s="7">
        <f t="shared" ref="T33:X33" si="24">S33*1.2</f>
        <v>106.56</v>
      </c>
      <c r="U33" s="7">
        <f t="shared" si="24"/>
        <v>127.87</v>
      </c>
      <c r="V33" s="7">
        <f t="shared" si="24"/>
        <v>153.44</v>
      </c>
      <c r="W33" s="7">
        <f t="shared" si="24"/>
        <v>184.13</v>
      </c>
      <c r="X33" s="7">
        <f t="shared" si="24"/>
        <v>220.96</v>
      </c>
    </row>
    <row r="34" spans="1:24" ht="17.100000000000001" customHeight="1" x14ac:dyDescent="0.25">
      <c r="A34" s="18" t="s">
        <v>214</v>
      </c>
      <c r="B34" s="44">
        <v>11</v>
      </c>
      <c r="C34" s="12" t="s">
        <v>215</v>
      </c>
      <c r="D34" s="14">
        <v>77.319999999999993</v>
      </c>
      <c r="E34" s="14">
        <v>238.46</v>
      </c>
      <c r="F34" s="12">
        <v>43.57</v>
      </c>
      <c r="G34" s="12">
        <v>20.67</v>
      </c>
      <c r="H34" s="53">
        <v>68.2</v>
      </c>
      <c r="I34" s="54" t="s">
        <v>55</v>
      </c>
      <c r="J34" s="14">
        <f t="shared" si="0"/>
        <v>110484</v>
      </c>
      <c r="K34" s="14">
        <f t="shared" si="3"/>
        <v>5524.2</v>
      </c>
      <c r="L34" s="14">
        <f t="shared" si="4"/>
        <v>460.35</v>
      </c>
      <c r="M34" s="16">
        <v>92</v>
      </c>
      <c r="N34" s="55" t="s">
        <v>330</v>
      </c>
      <c r="O34" s="14">
        <f>SUM(Tabuľka9[[#This Row],[Stĺpec13]]-Tabuľka9[[#This Row],[Stĺpec4]])</f>
        <v>14.68</v>
      </c>
      <c r="P34" s="7">
        <f t="shared" si="1"/>
        <v>92</v>
      </c>
      <c r="S34" s="7">
        <f>Tabuľka9[[#This Row],[Stĺpec13]]*1.2</f>
        <v>110.4</v>
      </c>
      <c r="T34" s="7">
        <f t="shared" ref="T34:X34" si="25">S34*1.2</f>
        <v>132.47999999999999</v>
      </c>
      <c r="U34" s="7">
        <f t="shared" si="25"/>
        <v>158.97999999999999</v>
      </c>
      <c r="V34" s="7">
        <f t="shared" si="25"/>
        <v>190.78</v>
      </c>
      <c r="W34" s="7">
        <f t="shared" si="25"/>
        <v>228.94</v>
      </c>
      <c r="X34" s="7">
        <f t="shared" si="25"/>
        <v>274.73</v>
      </c>
    </row>
    <row r="35" spans="1:24" ht="15.75" hidden="1" x14ac:dyDescent="0.25">
      <c r="D35" s="17">
        <f>SUM(D13:D34)</f>
        <v>1209.47</v>
      </c>
      <c r="E35" s="3"/>
      <c r="F35" s="2">
        <f>SUM(D13:D34)</f>
        <v>1209.47</v>
      </c>
      <c r="G35" s="2"/>
      <c r="H35" s="3"/>
      <c r="I35" s="3"/>
      <c r="J35" s="2"/>
      <c r="K35" s="2"/>
      <c r="L35" s="19">
        <f>SUM(L13:L34)</f>
        <v>6994.99</v>
      </c>
      <c r="M35" s="16">
        <f>SUM(M13:M34)</f>
        <v>1439</v>
      </c>
      <c r="N35" s="2"/>
      <c r="O35" s="13"/>
      <c r="S35" s="2">
        <f>SUM(S13:S34)</f>
        <v>1726.8</v>
      </c>
      <c r="T35" s="2">
        <f t="shared" ref="T35:X35" si="26">SUM(T13:T34)</f>
        <v>2072.16</v>
      </c>
      <c r="U35" s="2">
        <f t="shared" si="26"/>
        <v>2486.58</v>
      </c>
      <c r="V35" s="2">
        <f t="shared" si="26"/>
        <v>2983.88</v>
      </c>
      <c r="W35" s="2">
        <f t="shared" si="26"/>
        <v>3580.67</v>
      </c>
      <c r="X35" s="2">
        <f t="shared" si="26"/>
        <v>4296.82</v>
      </c>
    </row>
    <row r="36" spans="1:24" ht="15.75" hidden="1" x14ac:dyDescent="0.25">
      <c r="J36" s="1" t="s">
        <v>314</v>
      </c>
      <c r="L36" s="12"/>
      <c r="M36" s="2">
        <f>SUM(M35-D35)</f>
        <v>229.53</v>
      </c>
      <c r="N36" s="1"/>
      <c r="O36" s="13"/>
      <c r="S36" s="2">
        <f>SUM(S35-M35)</f>
        <v>287.8</v>
      </c>
      <c r="T36" s="2">
        <f>SUM(T35-S35)</f>
        <v>345.36</v>
      </c>
      <c r="U36" s="2">
        <f>SUM(U35-T35)</f>
        <v>414.42</v>
      </c>
      <c r="V36" s="2">
        <f>SUM(V35-U35)</f>
        <v>497.3</v>
      </c>
      <c r="W36" s="2">
        <f>SUM(W35-V35)</f>
        <v>596.79</v>
      </c>
      <c r="X36" s="2">
        <f>SUM(X35-W35)</f>
        <v>716.15</v>
      </c>
    </row>
    <row r="37" spans="1:24" ht="15.75" hidden="1" x14ac:dyDescent="0.25">
      <c r="J37" s="1"/>
      <c r="L37" s="12"/>
      <c r="M37" s="2">
        <f>M36*12</f>
        <v>2754.36</v>
      </c>
      <c r="N37" s="1"/>
      <c r="O37" s="13"/>
      <c r="S37" s="1">
        <f t="shared" ref="S37:X37" si="27">S36*12</f>
        <v>3453.6</v>
      </c>
      <c r="T37" s="1">
        <f t="shared" si="27"/>
        <v>4144.32</v>
      </c>
      <c r="U37" s="1">
        <f t="shared" si="27"/>
        <v>4973.04</v>
      </c>
      <c r="V37" s="1">
        <f t="shared" si="27"/>
        <v>5967.6</v>
      </c>
      <c r="W37" s="1">
        <f t="shared" si="27"/>
        <v>7161.48</v>
      </c>
      <c r="X37" s="1">
        <f t="shared" si="27"/>
        <v>8593.7999999999993</v>
      </c>
    </row>
    <row r="38" spans="1:24" ht="15.75" hidden="1" x14ac:dyDescent="0.25">
      <c r="J38" s="1"/>
      <c r="L38" s="12"/>
      <c r="M38" s="2"/>
      <c r="N38" s="1"/>
      <c r="O38" s="13"/>
    </row>
    <row r="39" spans="1:24" hidden="1" x14ac:dyDescent="0.2">
      <c r="L39" s="8"/>
      <c r="M39" s="1"/>
      <c r="N39" s="1"/>
      <c r="O39" s="13"/>
    </row>
    <row r="40" spans="1:24" ht="33" hidden="1" customHeight="1" x14ac:dyDescent="0.2">
      <c r="A40" s="131" t="s">
        <v>305</v>
      </c>
      <c r="B40" s="131"/>
      <c r="C40" s="131"/>
      <c r="D40" s="131"/>
      <c r="E40" s="131"/>
      <c r="F40" s="131"/>
      <c r="G40" s="131"/>
      <c r="H40" s="131"/>
      <c r="I40" s="131"/>
      <c r="J40" s="34" t="s">
        <v>325</v>
      </c>
      <c r="K40" s="132" t="s">
        <v>326</v>
      </c>
      <c r="L40" s="133"/>
      <c r="M40" s="1"/>
      <c r="N40" s="1"/>
      <c r="O40" s="56"/>
    </row>
    <row r="41" spans="1:24" hidden="1" x14ac:dyDescent="0.2">
      <c r="B41" s="1"/>
      <c r="L41" s="1"/>
      <c r="M41" s="1"/>
      <c r="N41" s="1"/>
      <c r="O41" s="13"/>
    </row>
    <row r="42" spans="1:24" hidden="1" x14ac:dyDescent="0.2">
      <c r="L42" s="1"/>
      <c r="M42" s="1"/>
      <c r="N42" s="1"/>
      <c r="O42" s="13"/>
    </row>
    <row r="43" spans="1:24" hidden="1" x14ac:dyDescent="0.2">
      <c r="L43" s="1"/>
      <c r="M43" s="1"/>
      <c r="N43" s="1"/>
      <c r="O43" s="13"/>
    </row>
    <row r="44" spans="1:24" hidden="1" x14ac:dyDescent="0.2">
      <c r="A44" t="s">
        <v>331</v>
      </c>
      <c r="L44" s="1"/>
      <c r="M44" s="1"/>
      <c r="N44" s="1"/>
      <c r="O44" s="13"/>
    </row>
    <row r="45" spans="1:24" hidden="1" x14ac:dyDescent="0.2">
      <c r="L45" s="1"/>
      <c r="M45" s="1"/>
      <c r="N45" s="1"/>
      <c r="O45" s="13"/>
    </row>
    <row r="46" spans="1:24" ht="15.75" hidden="1" x14ac:dyDescent="0.25">
      <c r="B46" s="22"/>
      <c r="L46" s="2"/>
      <c r="M46" s="2"/>
      <c r="N46" s="2"/>
      <c r="O46" s="13"/>
    </row>
    <row r="47" spans="1:24" hidden="1" x14ac:dyDescent="0.2">
      <c r="L47" s="1"/>
      <c r="M47" s="1"/>
      <c r="N47" s="1"/>
      <c r="O47" s="13"/>
    </row>
    <row r="48" spans="1:24" hidden="1" x14ac:dyDescent="0.2">
      <c r="M48" s="1"/>
      <c r="N48" s="1"/>
      <c r="O48" s="13"/>
    </row>
    <row r="49" spans="12:15" hidden="1" x14ac:dyDescent="0.2">
      <c r="L49" s="1"/>
      <c r="M49" s="1"/>
      <c r="N49" s="1"/>
      <c r="O49" s="13"/>
    </row>
    <row r="50" spans="12:15" hidden="1" x14ac:dyDescent="0.2">
      <c r="L50" s="1"/>
      <c r="M50" s="1"/>
      <c r="N50" s="1"/>
      <c r="O50" s="13"/>
    </row>
    <row r="51" spans="12:15" hidden="1" x14ac:dyDescent="0.2">
      <c r="L51" s="1"/>
      <c r="M51" s="1"/>
      <c r="N51" s="1"/>
      <c r="O51" s="13"/>
    </row>
    <row r="52" spans="12:15" hidden="1" x14ac:dyDescent="0.2">
      <c r="L52" s="1"/>
      <c r="M52" s="1"/>
      <c r="N52" s="1"/>
      <c r="O52" s="13"/>
    </row>
    <row r="53" spans="12:15" hidden="1" x14ac:dyDescent="0.2">
      <c r="L53" s="1"/>
      <c r="M53" s="1"/>
      <c r="N53" s="1"/>
      <c r="O53" s="13"/>
    </row>
    <row r="54" spans="12:15" ht="15.75" hidden="1" x14ac:dyDescent="0.25">
      <c r="L54" s="2"/>
      <c r="M54" s="2"/>
      <c r="N54" s="2"/>
      <c r="O54" s="13"/>
    </row>
    <row r="55" spans="12:15" hidden="1" x14ac:dyDescent="0.2">
      <c r="L55" s="1"/>
      <c r="M55" s="1"/>
      <c r="N55" s="1"/>
      <c r="O55" s="13"/>
    </row>
    <row r="56" spans="12:15" hidden="1" x14ac:dyDescent="0.2">
      <c r="L56" s="1"/>
      <c r="M56" s="1"/>
      <c r="N56" s="1"/>
      <c r="O56" s="13"/>
    </row>
    <row r="57" spans="12:15" hidden="1" x14ac:dyDescent="0.2">
      <c r="L57" s="1"/>
      <c r="M57" s="1"/>
      <c r="N57" s="1"/>
      <c r="O57" s="13"/>
    </row>
    <row r="58" spans="12:15" x14ac:dyDescent="0.2">
      <c r="L58" s="1"/>
      <c r="M58" s="1"/>
      <c r="N58" s="1"/>
      <c r="O58" s="13"/>
    </row>
    <row r="59" spans="12:15" x14ac:dyDescent="0.2">
      <c r="L59" s="1"/>
      <c r="M59" s="1"/>
      <c r="N59" s="1"/>
      <c r="O59" s="13"/>
    </row>
    <row r="60" spans="12:15" x14ac:dyDescent="0.2">
      <c r="L60" s="1"/>
      <c r="M60" s="1"/>
      <c r="N60" s="1"/>
      <c r="O60" s="13"/>
    </row>
    <row r="61" spans="12:15" x14ac:dyDescent="0.2">
      <c r="L61" s="1"/>
      <c r="M61" s="1"/>
      <c r="N61" s="1"/>
      <c r="O61" s="13"/>
    </row>
    <row r="62" spans="12:15" x14ac:dyDescent="0.2">
      <c r="L62" s="1"/>
      <c r="M62" s="1"/>
      <c r="N62" s="1"/>
      <c r="O62" s="13"/>
    </row>
    <row r="63" spans="12:15" x14ac:dyDescent="0.2">
      <c r="L63" s="1"/>
      <c r="M63" s="1"/>
      <c r="N63" s="1"/>
      <c r="O63" s="13"/>
    </row>
    <row r="64" spans="12:15" x14ac:dyDescent="0.2">
      <c r="L64" s="1"/>
      <c r="M64" s="1"/>
      <c r="N64" s="1"/>
      <c r="O64" s="13"/>
    </row>
    <row r="65" spans="12:15" x14ac:dyDescent="0.2">
      <c r="L65" s="1"/>
      <c r="M65" s="1"/>
      <c r="N65" s="1"/>
      <c r="O65" s="13"/>
    </row>
    <row r="66" spans="12:15" x14ac:dyDescent="0.2">
      <c r="L66" s="1"/>
      <c r="M66" s="1"/>
      <c r="N66" s="1"/>
      <c r="O66" s="13"/>
    </row>
    <row r="67" spans="12:15" x14ac:dyDescent="0.2">
      <c r="L67" s="1"/>
      <c r="M67" s="1"/>
      <c r="N67" s="1"/>
      <c r="O67" s="13"/>
    </row>
    <row r="68" spans="12:15" x14ac:dyDescent="0.2">
      <c r="L68" s="1"/>
      <c r="M68" s="1"/>
      <c r="N68" s="1"/>
      <c r="O68" s="13"/>
    </row>
    <row r="69" spans="12:15" x14ac:dyDescent="0.2">
      <c r="L69" s="1"/>
      <c r="M69" s="1"/>
      <c r="N69" s="1"/>
      <c r="O69" s="13"/>
    </row>
    <row r="70" spans="12:15" x14ac:dyDescent="0.2">
      <c r="L70" s="1"/>
      <c r="M70" s="1"/>
      <c r="N70" s="1"/>
      <c r="O70" s="13"/>
    </row>
    <row r="71" spans="12:15" x14ac:dyDescent="0.2">
      <c r="L71" s="1"/>
      <c r="M71" s="1"/>
      <c r="N71" s="1"/>
      <c r="O71" s="13"/>
    </row>
    <row r="72" spans="12:15" x14ac:dyDescent="0.2">
      <c r="O72" s="13"/>
    </row>
    <row r="73" spans="12:15" x14ac:dyDescent="0.2">
      <c r="O73" s="13"/>
    </row>
    <row r="74" spans="12:15" x14ac:dyDescent="0.2">
      <c r="O74" s="13"/>
    </row>
    <row r="75" spans="12:15" x14ac:dyDescent="0.2">
      <c r="O75" s="13"/>
    </row>
    <row r="76" spans="12:15" x14ac:dyDescent="0.2">
      <c r="O76" s="13"/>
    </row>
    <row r="77" spans="12:15" x14ac:dyDescent="0.2">
      <c r="O77" s="13"/>
    </row>
    <row r="78" spans="12:15" x14ac:dyDescent="0.2">
      <c r="O78" s="13"/>
    </row>
    <row r="79" spans="12:15" x14ac:dyDescent="0.2">
      <c r="O79" s="13"/>
    </row>
    <row r="80" spans="12:15" x14ac:dyDescent="0.2">
      <c r="O80" s="13"/>
    </row>
    <row r="81" spans="15:15" x14ac:dyDescent="0.2">
      <c r="O81" s="13"/>
    </row>
    <row r="82" spans="15:15" x14ac:dyDescent="0.2">
      <c r="O82" s="13"/>
    </row>
    <row r="83" spans="15:15" x14ac:dyDescent="0.2">
      <c r="O83" s="13"/>
    </row>
    <row r="84" spans="15:15" x14ac:dyDescent="0.2">
      <c r="O84" s="13"/>
    </row>
    <row r="85" spans="15:15" x14ac:dyDescent="0.2">
      <c r="O85" s="13"/>
    </row>
    <row r="86" spans="15:15" x14ac:dyDescent="0.2">
      <c r="O86" s="13"/>
    </row>
    <row r="87" spans="15:15" x14ac:dyDescent="0.2">
      <c r="O87" s="13"/>
    </row>
    <row r="88" spans="15:15" x14ac:dyDescent="0.2">
      <c r="O88" s="13"/>
    </row>
    <row r="89" spans="15:15" x14ac:dyDescent="0.2">
      <c r="O89" s="13"/>
    </row>
    <row r="90" spans="15:15" x14ac:dyDescent="0.2">
      <c r="O90" s="13"/>
    </row>
    <row r="91" spans="15:15" x14ac:dyDescent="0.2">
      <c r="O91" s="13"/>
    </row>
    <row r="92" spans="15:15" x14ac:dyDescent="0.2">
      <c r="O92" s="13"/>
    </row>
    <row r="93" spans="15:15" x14ac:dyDescent="0.2">
      <c r="O93" s="13"/>
    </row>
    <row r="94" spans="15:15" x14ac:dyDescent="0.2">
      <c r="O94" s="13"/>
    </row>
    <row r="95" spans="15:15" x14ac:dyDescent="0.2">
      <c r="O95" s="13"/>
    </row>
    <row r="96" spans="15:15" x14ac:dyDescent="0.2">
      <c r="O96" s="13"/>
    </row>
    <row r="97" spans="15:15" x14ac:dyDescent="0.2">
      <c r="O97" s="13"/>
    </row>
    <row r="98" spans="15:15" x14ac:dyDescent="0.2">
      <c r="O98" s="13"/>
    </row>
    <row r="99" spans="15:15" x14ac:dyDescent="0.2">
      <c r="O99" s="13"/>
    </row>
    <row r="100" spans="15:15" x14ac:dyDescent="0.2">
      <c r="O100" s="13"/>
    </row>
    <row r="101" spans="15:15" x14ac:dyDescent="0.2">
      <c r="O101" s="13"/>
    </row>
    <row r="102" spans="15:15" x14ac:dyDescent="0.2">
      <c r="O102" s="13"/>
    </row>
    <row r="103" spans="15:15" x14ac:dyDescent="0.2">
      <c r="O103" s="13"/>
    </row>
    <row r="104" spans="15:15" x14ac:dyDescent="0.2">
      <c r="O104" s="13"/>
    </row>
    <row r="105" spans="15:15" x14ac:dyDescent="0.2">
      <c r="O105" s="13"/>
    </row>
    <row r="106" spans="15:15" x14ac:dyDescent="0.2">
      <c r="O106" s="13"/>
    </row>
    <row r="107" spans="15:15" x14ac:dyDescent="0.2">
      <c r="O107" s="13"/>
    </row>
    <row r="108" spans="15:15" x14ac:dyDescent="0.2">
      <c r="O108" s="13"/>
    </row>
    <row r="109" spans="15:15" x14ac:dyDescent="0.2">
      <c r="O109" s="13"/>
    </row>
    <row r="110" spans="15:15" x14ac:dyDescent="0.2">
      <c r="O110" s="13"/>
    </row>
    <row r="111" spans="15:15" x14ac:dyDescent="0.2">
      <c r="O111" s="13"/>
    </row>
    <row r="112" spans="15:15" x14ac:dyDescent="0.2">
      <c r="O112" s="13"/>
    </row>
  </sheetData>
  <mergeCells count="3">
    <mergeCell ref="A40:I40"/>
    <mergeCell ref="K40:L40"/>
    <mergeCell ref="A1:Y1"/>
  </mergeCells>
  <phoneticPr fontId="27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EBEC-26C0-467C-B548-1465071A62DE}">
  <sheetPr>
    <pageSetUpPr fitToPage="1"/>
  </sheetPr>
  <dimension ref="A1:V108"/>
  <sheetViews>
    <sheetView topLeftCell="A34" workbookViewId="0">
      <selection activeCell="AC62" sqref="AC62"/>
    </sheetView>
  </sheetViews>
  <sheetFormatPr defaultRowHeight="15" x14ac:dyDescent="0.2"/>
  <cols>
    <col min="1" max="1" width="18.44140625" bestFit="1" customWidth="1"/>
    <col min="2" max="2" width="20.5546875" hidden="1" customWidth="1"/>
    <col min="3" max="3" width="10" bestFit="1" customWidth="1"/>
    <col min="4" max="4" width="23.88671875" hidden="1" customWidth="1"/>
    <col min="5" max="8" width="0" hidden="1" customWidth="1"/>
    <col min="9" max="9" width="12.21875" hidden="1" customWidth="1"/>
    <col min="10" max="10" width="9" hidden="1" customWidth="1"/>
    <col min="11" max="11" width="11" hidden="1" customWidth="1"/>
    <col min="12" max="12" width="10.6640625" customWidth="1"/>
    <col min="13" max="13" width="9.88671875" customWidth="1"/>
    <col min="14" max="17" width="0" hidden="1" customWidth="1"/>
    <col min="18" max="18" width="10.5546875" hidden="1" customWidth="1"/>
    <col min="19" max="19" width="10.44140625" hidden="1" customWidth="1"/>
    <col min="20" max="20" width="11.44140625" hidden="1" customWidth="1"/>
    <col min="21" max="21" width="12" hidden="1" customWidth="1"/>
    <col min="22" max="22" width="11.77734375" hidden="1" customWidth="1"/>
    <col min="23" max="25" width="0" hidden="1" customWidth="1"/>
  </cols>
  <sheetData>
    <row r="1" spans="1:22" ht="18" x14ac:dyDescent="0.25">
      <c r="A1" s="29" t="s">
        <v>358</v>
      </c>
    </row>
    <row r="2" spans="1:22" hidden="1" x14ac:dyDescent="0.2">
      <c r="A2" s="26" t="s">
        <v>294</v>
      </c>
    </row>
    <row r="3" spans="1:22" hidden="1" x14ac:dyDescent="0.2">
      <c r="A3" s="26" t="s">
        <v>295</v>
      </c>
    </row>
    <row r="4" spans="1:22" hidden="1" x14ac:dyDescent="0.2">
      <c r="A4" s="26"/>
    </row>
    <row r="5" spans="1:22" ht="15.75" hidden="1" x14ac:dyDescent="0.25">
      <c r="A5" s="26" t="s">
        <v>339</v>
      </c>
    </row>
    <row r="6" spans="1:22" hidden="1" x14ac:dyDescent="0.2">
      <c r="A6" s="26"/>
    </row>
    <row r="7" spans="1:22" ht="15.75" hidden="1" x14ac:dyDescent="0.25">
      <c r="A7" s="26" t="s">
        <v>319</v>
      </c>
      <c r="H7" s="3" t="s">
        <v>308</v>
      </c>
      <c r="I7" s="2" t="s">
        <v>226</v>
      </c>
    </row>
    <row r="8" spans="1:22" hidden="1" x14ac:dyDescent="0.2">
      <c r="A8" s="26"/>
      <c r="H8" t="s">
        <v>320</v>
      </c>
      <c r="I8" s="1">
        <f>SUM(G31:G63)</f>
        <v>1562.58</v>
      </c>
    </row>
    <row r="9" spans="1:22" ht="15.75" hidden="1" x14ac:dyDescent="0.25">
      <c r="A9" s="26"/>
      <c r="H9" t="s">
        <v>321</v>
      </c>
      <c r="I9" s="4">
        <v>1620</v>
      </c>
    </row>
    <row r="10" spans="1:22" x14ac:dyDescent="0.2">
      <c r="A10" s="26"/>
      <c r="R10" t="s">
        <v>341</v>
      </c>
    </row>
    <row r="11" spans="1:22" ht="66" customHeight="1" x14ac:dyDescent="0.2">
      <c r="A11" s="39" t="s">
        <v>0</v>
      </c>
      <c r="B11" s="32" t="s">
        <v>1</v>
      </c>
      <c r="C11" s="31" t="s">
        <v>300</v>
      </c>
      <c r="D11" s="32" t="s">
        <v>2</v>
      </c>
      <c r="E11" s="32" t="s">
        <v>3</v>
      </c>
      <c r="F11" s="32" t="s">
        <v>4</v>
      </c>
      <c r="G11" s="31" t="s">
        <v>299</v>
      </c>
      <c r="H11" s="32" t="s">
        <v>5</v>
      </c>
      <c r="I11" s="31" t="s">
        <v>227</v>
      </c>
      <c r="J11" s="31" t="s">
        <v>216</v>
      </c>
      <c r="K11" s="45" t="s">
        <v>217</v>
      </c>
      <c r="L11" s="40" t="s">
        <v>356</v>
      </c>
      <c r="M11" s="31" t="s">
        <v>336</v>
      </c>
      <c r="N11" s="31" t="s">
        <v>304</v>
      </c>
      <c r="O11" s="31" t="s">
        <v>347</v>
      </c>
      <c r="R11" s="40" t="s">
        <v>340</v>
      </c>
      <c r="S11" s="40" t="s">
        <v>342</v>
      </c>
      <c r="T11" s="40" t="s">
        <v>343</v>
      </c>
      <c r="U11" s="40" t="s">
        <v>344</v>
      </c>
      <c r="V11" s="40" t="s">
        <v>345</v>
      </c>
    </row>
    <row r="12" spans="1:22" ht="15.75" x14ac:dyDescent="0.25">
      <c r="A12" s="27"/>
      <c r="K12" s="12"/>
    </row>
    <row r="13" spans="1:22" ht="15.75" x14ac:dyDescent="0.25">
      <c r="A13" s="57" t="s">
        <v>322</v>
      </c>
      <c r="K13" s="12"/>
    </row>
    <row r="14" spans="1:22" ht="15.75" x14ac:dyDescent="0.25">
      <c r="A14" s="57">
        <v>1</v>
      </c>
      <c r="B14" s="58" t="s">
        <v>87</v>
      </c>
      <c r="C14" s="59">
        <v>70.7</v>
      </c>
      <c r="D14" s="60">
        <v>221.28</v>
      </c>
      <c r="E14" s="58">
        <v>35.24</v>
      </c>
      <c r="F14" s="58">
        <v>23.05</v>
      </c>
      <c r="G14" s="60">
        <v>62.71</v>
      </c>
      <c r="H14" s="58" t="s">
        <v>55</v>
      </c>
      <c r="I14" s="59">
        <f t="shared" ref="I14:I28" si="0">SUM(G14*$I$9)</f>
        <v>101590.2</v>
      </c>
      <c r="J14" s="59">
        <f t="shared" ref="J14:J28" si="1">SUM(I14*5%)</f>
        <v>5079.51</v>
      </c>
      <c r="K14" s="61">
        <f t="shared" ref="K14:K28" si="2">SUM(J14/12)</f>
        <v>423.29</v>
      </c>
      <c r="L14" s="62">
        <v>84</v>
      </c>
      <c r="M14" s="63">
        <f>SUM(L14-C14)</f>
        <v>13.3</v>
      </c>
      <c r="N14" s="51">
        <f>M14/C14</f>
        <v>0.19</v>
      </c>
      <c r="O14" s="7">
        <f>MROUND(L14,2)</f>
        <v>84</v>
      </c>
      <c r="R14" s="6">
        <f>L14*1.2</f>
        <v>100.8</v>
      </c>
      <c r="S14" s="6">
        <f>R14*1.2</f>
        <v>120.96</v>
      </c>
      <c r="T14" s="6">
        <f>S14*1.2</f>
        <v>145.15</v>
      </c>
      <c r="U14" s="6">
        <f>T14*1.2</f>
        <v>174.18</v>
      </c>
      <c r="V14" s="6">
        <f>U14*1.2</f>
        <v>209.02</v>
      </c>
    </row>
    <row r="15" spans="1:22" ht="15.75" x14ac:dyDescent="0.25">
      <c r="A15" s="57">
        <v>2</v>
      </c>
      <c r="B15" s="58" t="s">
        <v>88</v>
      </c>
      <c r="C15" s="59">
        <v>40.94</v>
      </c>
      <c r="D15" s="60">
        <v>175.56</v>
      </c>
      <c r="E15" s="58">
        <v>12.26</v>
      </c>
      <c r="F15" s="58">
        <v>18.690000000000001</v>
      </c>
      <c r="G15" s="60">
        <v>35.619999999999997</v>
      </c>
      <c r="H15" s="58" t="s">
        <v>57</v>
      </c>
      <c r="I15" s="59">
        <f t="shared" si="0"/>
        <v>57704.4</v>
      </c>
      <c r="J15" s="59">
        <f t="shared" si="1"/>
        <v>2885.22</v>
      </c>
      <c r="K15" s="61">
        <f t="shared" si="2"/>
        <v>240.44</v>
      </c>
      <c r="L15" s="62">
        <v>49</v>
      </c>
      <c r="M15" s="63">
        <f t="shared" ref="M15:M63" si="3">SUM(L15-C15)</f>
        <v>8.06</v>
      </c>
      <c r="N15" s="51">
        <f t="shared" ref="N15:N63" si="4">M15/C15</f>
        <v>0.2</v>
      </c>
      <c r="O15" s="7">
        <v>49</v>
      </c>
      <c r="R15" s="6">
        <f t="shared" ref="R15:R63" si="5">L15*1.2</f>
        <v>58.8</v>
      </c>
      <c r="S15" s="6">
        <f t="shared" ref="S15:V63" si="6">R15*1.2</f>
        <v>70.56</v>
      </c>
      <c r="T15" s="6">
        <f t="shared" si="6"/>
        <v>84.67</v>
      </c>
      <c r="U15" s="6">
        <f t="shared" si="6"/>
        <v>101.6</v>
      </c>
      <c r="V15" s="6">
        <f t="shared" si="6"/>
        <v>121.92</v>
      </c>
    </row>
    <row r="16" spans="1:22" ht="15.75" x14ac:dyDescent="0.25">
      <c r="A16" s="57">
        <v>3</v>
      </c>
      <c r="B16" s="58" t="s">
        <v>89</v>
      </c>
      <c r="C16" s="59">
        <v>57.3</v>
      </c>
      <c r="D16" s="60">
        <v>236.13</v>
      </c>
      <c r="E16" s="58">
        <v>25.77</v>
      </c>
      <c r="F16" s="58">
        <v>17.239999999999998</v>
      </c>
      <c r="G16" s="60">
        <v>47.52</v>
      </c>
      <c r="H16" s="58" t="s">
        <v>59</v>
      </c>
      <c r="I16" s="59">
        <f t="shared" si="0"/>
        <v>76982.399999999994</v>
      </c>
      <c r="J16" s="59">
        <f t="shared" si="1"/>
        <v>3849.12</v>
      </c>
      <c r="K16" s="61">
        <f t="shared" si="2"/>
        <v>320.76</v>
      </c>
      <c r="L16" s="62">
        <v>68</v>
      </c>
      <c r="M16" s="63">
        <f t="shared" si="3"/>
        <v>10.7</v>
      </c>
      <c r="N16" s="51">
        <f t="shared" si="4"/>
        <v>0.19</v>
      </c>
      <c r="O16" s="7">
        <f t="shared" ref="O16:O63" si="7">MROUND(L16,2)</f>
        <v>68</v>
      </c>
      <c r="R16" s="6">
        <f t="shared" si="5"/>
        <v>81.599999999999994</v>
      </c>
      <c r="S16" s="6">
        <f t="shared" si="6"/>
        <v>97.92</v>
      </c>
      <c r="T16" s="6">
        <f t="shared" si="6"/>
        <v>117.5</v>
      </c>
      <c r="U16" s="6">
        <f t="shared" si="6"/>
        <v>141</v>
      </c>
      <c r="V16" s="6">
        <f t="shared" si="6"/>
        <v>169.2</v>
      </c>
    </row>
    <row r="17" spans="1:22" ht="15.75" x14ac:dyDescent="0.25">
      <c r="A17" s="57">
        <v>4</v>
      </c>
      <c r="B17" s="58" t="s">
        <v>90</v>
      </c>
      <c r="C17" s="59">
        <v>70.7</v>
      </c>
      <c r="D17" s="60">
        <v>207.63</v>
      </c>
      <c r="E17" s="58">
        <v>35.24</v>
      </c>
      <c r="F17" s="58">
        <v>23.05</v>
      </c>
      <c r="G17" s="60">
        <v>62.71</v>
      </c>
      <c r="H17" s="58" t="s">
        <v>55</v>
      </c>
      <c r="I17" s="59">
        <f t="shared" si="0"/>
        <v>101590.2</v>
      </c>
      <c r="J17" s="59">
        <f t="shared" si="1"/>
        <v>5079.51</v>
      </c>
      <c r="K17" s="61">
        <f t="shared" si="2"/>
        <v>423.29</v>
      </c>
      <c r="L17" s="62">
        <v>84</v>
      </c>
      <c r="M17" s="63">
        <f t="shared" si="3"/>
        <v>13.3</v>
      </c>
      <c r="N17" s="51">
        <f t="shared" si="4"/>
        <v>0.19</v>
      </c>
      <c r="O17" s="7">
        <f t="shared" si="7"/>
        <v>84</v>
      </c>
      <c r="R17" s="6">
        <f t="shared" si="5"/>
        <v>100.8</v>
      </c>
      <c r="S17" s="6">
        <f t="shared" si="6"/>
        <v>120.96</v>
      </c>
      <c r="T17" s="6">
        <f t="shared" si="6"/>
        <v>145.15</v>
      </c>
      <c r="U17" s="6">
        <f t="shared" si="6"/>
        <v>174.18</v>
      </c>
      <c r="V17" s="6">
        <f t="shared" si="6"/>
        <v>209.02</v>
      </c>
    </row>
    <row r="18" spans="1:22" ht="15.75" x14ac:dyDescent="0.25">
      <c r="A18" s="57">
        <v>5</v>
      </c>
      <c r="B18" s="58" t="s">
        <v>91</v>
      </c>
      <c r="C18" s="59">
        <v>40.94</v>
      </c>
      <c r="D18" s="60">
        <v>145.11000000000001</v>
      </c>
      <c r="E18" s="58">
        <v>12.26</v>
      </c>
      <c r="F18" s="58">
        <v>18.690000000000001</v>
      </c>
      <c r="G18" s="60">
        <v>35.619999999999997</v>
      </c>
      <c r="H18" s="58" t="s">
        <v>57</v>
      </c>
      <c r="I18" s="59">
        <f t="shared" si="0"/>
        <v>57704.4</v>
      </c>
      <c r="J18" s="59">
        <f t="shared" si="1"/>
        <v>2885.22</v>
      </c>
      <c r="K18" s="61">
        <f t="shared" si="2"/>
        <v>240.44</v>
      </c>
      <c r="L18" s="62">
        <v>49</v>
      </c>
      <c r="M18" s="63">
        <f t="shared" si="3"/>
        <v>8.06</v>
      </c>
      <c r="N18" s="51">
        <f t="shared" si="4"/>
        <v>0.2</v>
      </c>
      <c r="O18" s="7">
        <v>49</v>
      </c>
      <c r="R18" s="6">
        <f t="shared" si="5"/>
        <v>58.8</v>
      </c>
      <c r="S18" s="6">
        <f t="shared" si="6"/>
        <v>70.56</v>
      </c>
      <c r="T18" s="6">
        <f t="shared" si="6"/>
        <v>84.67</v>
      </c>
      <c r="U18" s="6">
        <f t="shared" si="6"/>
        <v>101.6</v>
      </c>
      <c r="V18" s="6">
        <f t="shared" si="6"/>
        <v>121.92</v>
      </c>
    </row>
    <row r="19" spans="1:22" ht="15.75" x14ac:dyDescent="0.25">
      <c r="A19" s="57">
        <v>6</v>
      </c>
      <c r="B19" s="58" t="s">
        <v>92</v>
      </c>
      <c r="C19" s="59">
        <v>57.3</v>
      </c>
      <c r="D19" s="60">
        <v>193.18</v>
      </c>
      <c r="E19" s="58">
        <v>25.77</v>
      </c>
      <c r="F19" s="58">
        <v>17.239999999999998</v>
      </c>
      <c r="G19" s="60">
        <v>47.52</v>
      </c>
      <c r="H19" s="58" t="s">
        <v>59</v>
      </c>
      <c r="I19" s="59">
        <f t="shared" si="0"/>
        <v>76982.399999999994</v>
      </c>
      <c r="J19" s="59">
        <f t="shared" si="1"/>
        <v>3849.12</v>
      </c>
      <c r="K19" s="61">
        <f t="shared" si="2"/>
        <v>320.76</v>
      </c>
      <c r="L19" s="62">
        <v>68</v>
      </c>
      <c r="M19" s="63">
        <f t="shared" si="3"/>
        <v>10.7</v>
      </c>
      <c r="N19" s="51">
        <f t="shared" si="4"/>
        <v>0.19</v>
      </c>
      <c r="O19" s="7">
        <f t="shared" si="7"/>
        <v>68</v>
      </c>
      <c r="R19" s="6">
        <f t="shared" si="5"/>
        <v>81.599999999999994</v>
      </c>
      <c r="S19" s="6">
        <f t="shared" si="6"/>
        <v>97.92</v>
      </c>
      <c r="T19" s="6">
        <f t="shared" si="6"/>
        <v>117.5</v>
      </c>
      <c r="U19" s="6">
        <f t="shared" si="6"/>
        <v>141</v>
      </c>
      <c r="V19" s="6">
        <f t="shared" si="6"/>
        <v>169.2</v>
      </c>
    </row>
    <row r="20" spans="1:22" ht="15.75" x14ac:dyDescent="0.25">
      <c r="A20" s="57">
        <v>7</v>
      </c>
      <c r="B20" s="58" t="s">
        <v>93</v>
      </c>
      <c r="C20" s="59">
        <v>70.7</v>
      </c>
      <c r="D20" s="60">
        <v>287.54000000000002</v>
      </c>
      <c r="E20" s="58">
        <v>35.24</v>
      </c>
      <c r="F20" s="58">
        <v>23.05</v>
      </c>
      <c r="G20" s="60">
        <v>62.71</v>
      </c>
      <c r="H20" s="58" t="s">
        <v>55</v>
      </c>
      <c r="I20" s="59">
        <f t="shared" si="0"/>
        <v>101590.2</v>
      </c>
      <c r="J20" s="59">
        <f t="shared" si="1"/>
        <v>5079.51</v>
      </c>
      <c r="K20" s="61">
        <f t="shared" si="2"/>
        <v>423.29</v>
      </c>
      <c r="L20" s="62">
        <v>84</v>
      </c>
      <c r="M20" s="63">
        <f t="shared" si="3"/>
        <v>13.3</v>
      </c>
      <c r="N20" s="51">
        <f t="shared" si="4"/>
        <v>0.19</v>
      </c>
      <c r="O20" s="7">
        <f t="shared" si="7"/>
        <v>84</v>
      </c>
      <c r="R20" s="6">
        <f t="shared" si="5"/>
        <v>100.8</v>
      </c>
      <c r="S20" s="6">
        <f t="shared" si="6"/>
        <v>120.96</v>
      </c>
      <c r="T20" s="6">
        <f t="shared" si="6"/>
        <v>145.15</v>
      </c>
      <c r="U20" s="6">
        <f t="shared" si="6"/>
        <v>174.18</v>
      </c>
      <c r="V20" s="6">
        <f t="shared" si="6"/>
        <v>209.02</v>
      </c>
    </row>
    <row r="21" spans="1:22" ht="15.75" x14ac:dyDescent="0.25">
      <c r="A21" s="57">
        <v>8</v>
      </c>
      <c r="B21" s="58" t="s">
        <v>94</v>
      </c>
      <c r="C21" s="59">
        <v>40.94</v>
      </c>
      <c r="D21" s="60">
        <v>126.28</v>
      </c>
      <c r="E21" s="58">
        <v>12.26</v>
      </c>
      <c r="F21" s="58">
        <v>18.690000000000001</v>
      </c>
      <c r="G21" s="60">
        <v>35.619999999999997</v>
      </c>
      <c r="H21" s="58" t="s">
        <v>57</v>
      </c>
      <c r="I21" s="59">
        <f t="shared" si="0"/>
        <v>57704.4</v>
      </c>
      <c r="J21" s="59">
        <f t="shared" si="1"/>
        <v>2885.22</v>
      </c>
      <c r="K21" s="61">
        <f t="shared" si="2"/>
        <v>240.44</v>
      </c>
      <c r="L21" s="62">
        <v>49</v>
      </c>
      <c r="M21" s="63">
        <f t="shared" si="3"/>
        <v>8.06</v>
      </c>
      <c r="N21" s="51">
        <f t="shared" si="4"/>
        <v>0.2</v>
      </c>
      <c r="O21" s="7">
        <v>49</v>
      </c>
      <c r="R21" s="6">
        <f t="shared" si="5"/>
        <v>58.8</v>
      </c>
      <c r="S21" s="6">
        <f t="shared" si="6"/>
        <v>70.56</v>
      </c>
      <c r="T21" s="6">
        <f t="shared" si="6"/>
        <v>84.67</v>
      </c>
      <c r="U21" s="6">
        <f t="shared" si="6"/>
        <v>101.6</v>
      </c>
      <c r="V21" s="6">
        <f t="shared" si="6"/>
        <v>121.92</v>
      </c>
    </row>
    <row r="22" spans="1:22" ht="15.75" x14ac:dyDescent="0.25">
      <c r="A22" s="57">
        <v>9</v>
      </c>
      <c r="B22" s="58" t="s">
        <v>95</v>
      </c>
      <c r="C22" s="59">
        <v>57.3</v>
      </c>
      <c r="D22" s="60">
        <v>264.23</v>
      </c>
      <c r="E22" s="58">
        <v>25.77</v>
      </c>
      <c r="F22" s="58">
        <v>17.239999999999998</v>
      </c>
      <c r="G22" s="60">
        <v>47.52</v>
      </c>
      <c r="H22" s="58" t="s">
        <v>59</v>
      </c>
      <c r="I22" s="59">
        <f t="shared" si="0"/>
        <v>76982.399999999994</v>
      </c>
      <c r="J22" s="59">
        <f t="shared" si="1"/>
        <v>3849.12</v>
      </c>
      <c r="K22" s="61">
        <f t="shared" si="2"/>
        <v>320.76</v>
      </c>
      <c r="L22" s="62">
        <v>68</v>
      </c>
      <c r="M22" s="63">
        <f t="shared" si="3"/>
        <v>10.7</v>
      </c>
      <c r="N22" s="51">
        <f t="shared" si="4"/>
        <v>0.19</v>
      </c>
      <c r="O22" s="7">
        <f t="shared" si="7"/>
        <v>68</v>
      </c>
      <c r="R22" s="6">
        <f t="shared" si="5"/>
        <v>81.599999999999994</v>
      </c>
      <c r="S22" s="6">
        <f t="shared" si="6"/>
        <v>97.92</v>
      </c>
      <c r="T22" s="6">
        <f t="shared" si="6"/>
        <v>117.5</v>
      </c>
      <c r="U22" s="6">
        <f t="shared" si="6"/>
        <v>141</v>
      </c>
      <c r="V22" s="6">
        <f t="shared" si="6"/>
        <v>169.2</v>
      </c>
    </row>
    <row r="23" spans="1:22" ht="15.75" x14ac:dyDescent="0.25">
      <c r="A23" s="57">
        <v>10</v>
      </c>
      <c r="B23" s="58" t="s">
        <v>96</v>
      </c>
      <c r="C23" s="59">
        <v>70.7</v>
      </c>
      <c r="D23" s="60">
        <v>209.44</v>
      </c>
      <c r="E23" s="58">
        <v>35.24</v>
      </c>
      <c r="F23" s="58">
        <v>23.05</v>
      </c>
      <c r="G23" s="60">
        <v>62.71</v>
      </c>
      <c r="H23" s="58" t="s">
        <v>55</v>
      </c>
      <c r="I23" s="59">
        <f t="shared" si="0"/>
        <v>101590.2</v>
      </c>
      <c r="J23" s="59">
        <f t="shared" si="1"/>
        <v>5079.51</v>
      </c>
      <c r="K23" s="61">
        <f t="shared" si="2"/>
        <v>423.29</v>
      </c>
      <c r="L23" s="62">
        <v>84</v>
      </c>
      <c r="M23" s="63">
        <f t="shared" si="3"/>
        <v>13.3</v>
      </c>
      <c r="N23" s="51">
        <f t="shared" si="4"/>
        <v>0.19</v>
      </c>
      <c r="O23" s="7">
        <f t="shared" si="7"/>
        <v>84</v>
      </c>
      <c r="R23" s="6">
        <f t="shared" si="5"/>
        <v>100.8</v>
      </c>
      <c r="S23" s="6">
        <f t="shared" si="6"/>
        <v>120.96</v>
      </c>
      <c r="T23" s="6">
        <f t="shared" si="6"/>
        <v>145.15</v>
      </c>
      <c r="U23" s="6">
        <f t="shared" si="6"/>
        <v>174.18</v>
      </c>
      <c r="V23" s="6">
        <f t="shared" si="6"/>
        <v>209.02</v>
      </c>
    </row>
    <row r="24" spans="1:22" ht="15.75" x14ac:dyDescent="0.25">
      <c r="A24" s="57">
        <v>11</v>
      </c>
      <c r="B24" s="58" t="s">
        <v>97</v>
      </c>
      <c r="C24" s="59">
        <v>40.94</v>
      </c>
      <c r="D24" s="60">
        <v>115</v>
      </c>
      <c r="E24" s="58">
        <v>12.26</v>
      </c>
      <c r="F24" s="58">
        <v>18.690000000000001</v>
      </c>
      <c r="G24" s="60">
        <v>35.619999999999997</v>
      </c>
      <c r="H24" s="58" t="s">
        <v>57</v>
      </c>
      <c r="I24" s="59">
        <f t="shared" si="0"/>
        <v>57704.4</v>
      </c>
      <c r="J24" s="59">
        <f t="shared" si="1"/>
        <v>2885.22</v>
      </c>
      <c r="K24" s="61">
        <f t="shared" si="2"/>
        <v>240.44</v>
      </c>
      <c r="L24" s="62">
        <v>49</v>
      </c>
      <c r="M24" s="63">
        <f t="shared" si="3"/>
        <v>8.06</v>
      </c>
      <c r="N24" s="51">
        <f t="shared" si="4"/>
        <v>0.2</v>
      </c>
      <c r="O24" s="7">
        <v>49</v>
      </c>
      <c r="R24" s="6">
        <f t="shared" si="5"/>
        <v>58.8</v>
      </c>
      <c r="S24" s="6">
        <f t="shared" si="6"/>
        <v>70.56</v>
      </c>
      <c r="T24" s="6">
        <f t="shared" si="6"/>
        <v>84.67</v>
      </c>
      <c r="U24" s="6">
        <f t="shared" si="6"/>
        <v>101.6</v>
      </c>
      <c r="V24" s="6">
        <f t="shared" si="6"/>
        <v>121.92</v>
      </c>
    </row>
    <row r="25" spans="1:22" ht="15.75" x14ac:dyDescent="0.25">
      <c r="A25" s="57">
        <v>12</v>
      </c>
      <c r="B25" s="58" t="s">
        <v>98</v>
      </c>
      <c r="C25" s="59">
        <v>57.3</v>
      </c>
      <c r="D25" s="60">
        <v>222.49</v>
      </c>
      <c r="E25" s="58">
        <v>25.77</v>
      </c>
      <c r="F25" s="58">
        <v>17.239999999999998</v>
      </c>
      <c r="G25" s="60">
        <v>47.52</v>
      </c>
      <c r="H25" s="58" t="s">
        <v>59</v>
      </c>
      <c r="I25" s="59">
        <f t="shared" si="0"/>
        <v>76982.399999999994</v>
      </c>
      <c r="J25" s="59">
        <f t="shared" si="1"/>
        <v>3849.12</v>
      </c>
      <c r="K25" s="61">
        <f t="shared" si="2"/>
        <v>320.76</v>
      </c>
      <c r="L25" s="62">
        <v>68</v>
      </c>
      <c r="M25" s="63">
        <f t="shared" si="3"/>
        <v>10.7</v>
      </c>
      <c r="N25" s="51">
        <f t="shared" si="4"/>
        <v>0.19</v>
      </c>
      <c r="O25" s="7">
        <f t="shared" si="7"/>
        <v>68</v>
      </c>
      <c r="R25" s="6">
        <f t="shared" si="5"/>
        <v>81.599999999999994</v>
      </c>
      <c r="S25" s="6">
        <f t="shared" si="6"/>
        <v>97.92</v>
      </c>
      <c r="T25" s="6">
        <f t="shared" si="6"/>
        <v>117.5</v>
      </c>
      <c r="U25" s="6">
        <f t="shared" si="6"/>
        <v>141</v>
      </c>
      <c r="V25" s="6">
        <f t="shared" si="6"/>
        <v>169.2</v>
      </c>
    </row>
    <row r="26" spans="1:22" ht="15.75" x14ac:dyDescent="0.25">
      <c r="A26" s="57">
        <v>13</v>
      </c>
      <c r="B26" s="58" t="s">
        <v>99</v>
      </c>
      <c r="C26" s="59">
        <v>70.7</v>
      </c>
      <c r="D26" s="60">
        <v>197.27</v>
      </c>
      <c r="E26" s="58">
        <v>35.24</v>
      </c>
      <c r="F26" s="58">
        <v>23.05</v>
      </c>
      <c r="G26" s="60">
        <v>62.71</v>
      </c>
      <c r="H26" s="58" t="s">
        <v>55</v>
      </c>
      <c r="I26" s="59">
        <f t="shared" si="0"/>
        <v>101590.2</v>
      </c>
      <c r="J26" s="59">
        <f t="shared" si="1"/>
        <v>5079.51</v>
      </c>
      <c r="K26" s="61">
        <f t="shared" si="2"/>
        <v>423.29</v>
      </c>
      <c r="L26" s="62">
        <v>84</v>
      </c>
      <c r="M26" s="63">
        <f t="shared" si="3"/>
        <v>13.3</v>
      </c>
      <c r="N26" s="51">
        <f t="shared" si="4"/>
        <v>0.19</v>
      </c>
      <c r="O26" s="7">
        <f t="shared" si="7"/>
        <v>84</v>
      </c>
      <c r="R26" s="6">
        <f t="shared" si="5"/>
        <v>100.8</v>
      </c>
      <c r="S26" s="6">
        <f t="shared" si="6"/>
        <v>120.96</v>
      </c>
      <c r="T26" s="6">
        <f t="shared" si="6"/>
        <v>145.15</v>
      </c>
      <c r="U26" s="6">
        <f t="shared" si="6"/>
        <v>174.18</v>
      </c>
      <c r="V26" s="6">
        <f t="shared" si="6"/>
        <v>209.02</v>
      </c>
    </row>
    <row r="27" spans="1:22" ht="15.75" x14ac:dyDescent="0.25">
      <c r="A27" s="57">
        <v>14</v>
      </c>
      <c r="B27" s="58" t="s">
        <v>100</v>
      </c>
      <c r="C27" s="59">
        <v>40.94</v>
      </c>
      <c r="D27" s="60">
        <v>135.84</v>
      </c>
      <c r="E27" s="58">
        <v>12.26</v>
      </c>
      <c r="F27" s="58">
        <v>18.690000000000001</v>
      </c>
      <c r="G27" s="60">
        <v>35.619999999999997</v>
      </c>
      <c r="H27" s="58" t="s">
        <v>57</v>
      </c>
      <c r="I27" s="59">
        <f t="shared" si="0"/>
        <v>57704.4</v>
      </c>
      <c r="J27" s="59">
        <f t="shared" si="1"/>
        <v>2885.22</v>
      </c>
      <c r="K27" s="61">
        <f t="shared" si="2"/>
        <v>240.44</v>
      </c>
      <c r="L27" s="62">
        <v>49</v>
      </c>
      <c r="M27" s="63">
        <f t="shared" si="3"/>
        <v>8.06</v>
      </c>
      <c r="N27" s="51">
        <f t="shared" si="4"/>
        <v>0.2</v>
      </c>
      <c r="O27" s="7">
        <v>49</v>
      </c>
      <c r="R27" s="6">
        <f t="shared" si="5"/>
        <v>58.8</v>
      </c>
      <c r="S27" s="6">
        <f t="shared" si="6"/>
        <v>70.56</v>
      </c>
      <c r="T27" s="6">
        <f t="shared" si="6"/>
        <v>84.67</v>
      </c>
      <c r="U27" s="6">
        <f t="shared" si="6"/>
        <v>101.6</v>
      </c>
      <c r="V27" s="6">
        <f t="shared" si="6"/>
        <v>121.92</v>
      </c>
    </row>
    <row r="28" spans="1:22" ht="15.75" x14ac:dyDescent="0.25">
      <c r="A28" s="57">
        <v>15</v>
      </c>
      <c r="B28" s="58" t="s">
        <v>101</v>
      </c>
      <c r="C28" s="59">
        <v>57.3</v>
      </c>
      <c r="D28" s="60">
        <v>216.27</v>
      </c>
      <c r="E28" s="58">
        <v>25.77</v>
      </c>
      <c r="F28" s="58">
        <v>17.239999999999998</v>
      </c>
      <c r="G28" s="60">
        <v>47.52</v>
      </c>
      <c r="H28" s="58" t="s">
        <v>59</v>
      </c>
      <c r="I28" s="59">
        <f t="shared" si="0"/>
        <v>76982.399999999994</v>
      </c>
      <c r="J28" s="59">
        <f t="shared" si="1"/>
        <v>3849.12</v>
      </c>
      <c r="K28" s="61">
        <f t="shared" si="2"/>
        <v>320.76</v>
      </c>
      <c r="L28" s="62">
        <v>68</v>
      </c>
      <c r="M28" s="63">
        <f t="shared" si="3"/>
        <v>10.7</v>
      </c>
      <c r="N28" s="51">
        <f t="shared" si="4"/>
        <v>0.19</v>
      </c>
      <c r="O28" s="7">
        <f t="shared" si="7"/>
        <v>68</v>
      </c>
      <c r="R28" s="6">
        <f t="shared" si="5"/>
        <v>81.599999999999994</v>
      </c>
      <c r="S28" s="6">
        <f t="shared" si="6"/>
        <v>97.92</v>
      </c>
      <c r="T28" s="6">
        <f t="shared" si="6"/>
        <v>117.5</v>
      </c>
      <c r="U28" s="6">
        <f t="shared" si="6"/>
        <v>141</v>
      </c>
      <c r="V28" s="6">
        <f t="shared" si="6"/>
        <v>169.2</v>
      </c>
    </row>
    <row r="29" spans="1:22" ht="15.75" x14ac:dyDescent="0.25">
      <c r="A29" s="27"/>
      <c r="C29" s="1"/>
      <c r="D29" s="5"/>
      <c r="G29" s="5"/>
      <c r="I29" s="1"/>
      <c r="J29" s="1"/>
      <c r="K29" s="14"/>
      <c r="L29" s="2"/>
      <c r="M29" s="6"/>
      <c r="N29" s="51"/>
      <c r="O29" s="7"/>
      <c r="R29" s="6"/>
      <c r="S29" s="6"/>
      <c r="T29" s="6"/>
      <c r="U29" s="6"/>
      <c r="V29" s="6"/>
    </row>
    <row r="30" spans="1:22" ht="15.75" x14ac:dyDescent="0.25">
      <c r="A30" s="64" t="s">
        <v>323</v>
      </c>
      <c r="C30" s="1"/>
      <c r="D30" s="5"/>
      <c r="G30" s="5"/>
      <c r="I30" s="1"/>
      <c r="J30" s="1"/>
      <c r="K30" s="14"/>
      <c r="L30" s="2"/>
      <c r="M30" s="6"/>
      <c r="N30" s="51"/>
      <c r="O30" s="7"/>
      <c r="R30" s="6">
        <f t="shared" si="5"/>
        <v>0</v>
      </c>
      <c r="S30" s="6">
        <f t="shared" si="6"/>
        <v>0</v>
      </c>
      <c r="T30" s="6">
        <f t="shared" si="6"/>
        <v>0</v>
      </c>
      <c r="U30" s="6">
        <f t="shared" si="6"/>
        <v>0</v>
      </c>
      <c r="V30" s="6">
        <f t="shared" si="6"/>
        <v>0</v>
      </c>
    </row>
    <row r="31" spans="1:22" ht="15.75" x14ac:dyDescent="0.25">
      <c r="A31" s="64">
        <v>1</v>
      </c>
      <c r="B31" s="65" t="s">
        <v>54</v>
      </c>
      <c r="C31" s="66">
        <v>70.7</v>
      </c>
      <c r="D31" s="67">
        <v>175.03</v>
      </c>
      <c r="E31" s="65">
        <v>35.43</v>
      </c>
      <c r="F31" s="65">
        <v>23.22</v>
      </c>
      <c r="G31" s="67">
        <v>63.16</v>
      </c>
      <c r="H31" s="65" t="s">
        <v>55</v>
      </c>
      <c r="I31" s="66">
        <f t="shared" ref="I31:I45" si="8">SUM(G31*$I$9)</f>
        <v>102319.2</v>
      </c>
      <c r="J31" s="66">
        <f>SUM(I31*5%)</f>
        <v>5115.96</v>
      </c>
      <c r="K31" s="68">
        <f>SUM(J31/12)</f>
        <v>426.33</v>
      </c>
      <c r="L31" s="69">
        <v>84</v>
      </c>
      <c r="M31" s="70">
        <f t="shared" si="3"/>
        <v>13.3</v>
      </c>
      <c r="N31" s="51">
        <f t="shared" si="4"/>
        <v>0.19</v>
      </c>
      <c r="O31" s="7">
        <f t="shared" si="7"/>
        <v>84</v>
      </c>
      <c r="R31" s="6">
        <f t="shared" si="5"/>
        <v>100.8</v>
      </c>
      <c r="S31" s="6">
        <f t="shared" si="6"/>
        <v>120.96</v>
      </c>
      <c r="T31" s="6">
        <f t="shared" si="6"/>
        <v>145.15</v>
      </c>
      <c r="U31" s="6">
        <f t="shared" si="6"/>
        <v>174.18</v>
      </c>
      <c r="V31" s="6">
        <f t="shared" si="6"/>
        <v>209.02</v>
      </c>
    </row>
    <row r="32" spans="1:22" ht="15.75" x14ac:dyDescent="0.25">
      <c r="A32" s="64">
        <v>2</v>
      </c>
      <c r="B32" s="65" t="s">
        <v>56</v>
      </c>
      <c r="C32" s="66">
        <v>42.26</v>
      </c>
      <c r="D32" s="67">
        <v>118.59</v>
      </c>
      <c r="E32" s="65">
        <v>12.26</v>
      </c>
      <c r="F32" s="65">
        <v>18.690000000000001</v>
      </c>
      <c r="G32" s="67">
        <v>35.619999999999997</v>
      </c>
      <c r="H32" s="65" t="s">
        <v>57</v>
      </c>
      <c r="I32" s="66">
        <f t="shared" si="8"/>
        <v>57704.4</v>
      </c>
      <c r="J32" s="66">
        <f t="shared" ref="J32:J63" si="9">SUM(I32*5%)</f>
        <v>2885.22</v>
      </c>
      <c r="K32" s="68">
        <f t="shared" ref="K32:K63" si="10">SUM(J32/12)</f>
        <v>240.44</v>
      </c>
      <c r="L32" s="69">
        <v>50</v>
      </c>
      <c r="M32" s="70">
        <f t="shared" si="3"/>
        <v>7.74</v>
      </c>
      <c r="N32" s="51">
        <f t="shared" si="4"/>
        <v>0.18</v>
      </c>
      <c r="O32" s="7">
        <f t="shared" si="7"/>
        <v>50</v>
      </c>
      <c r="R32" s="6">
        <f t="shared" si="5"/>
        <v>60</v>
      </c>
      <c r="S32" s="6">
        <f t="shared" si="6"/>
        <v>72</v>
      </c>
      <c r="T32" s="6">
        <f t="shared" si="6"/>
        <v>86.4</v>
      </c>
      <c r="U32" s="6">
        <f t="shared" si="6"/>
        <v>103.68</v>
      </c>
      <c r="V32" s="6">
        <f t="shared" si="6"/>
        <v>124.42</v>
      </c>
    </row>
    <row r="33" spans="1:22" ht="15.75" x14ac:dyDescent="0.25">
      <c r="A33" s="64">
        <v>3</v>
      </c>
      <c r="B33" s="65" t="s">
        <v>58</v>
      </c>
      <c r="C33" s="66">
        <v>57.3</v>
      </c>
      <c r="D33" s="67">
        <v>167.84</v>
      </c>
      <c r="E33" s="65">
        <v>25.77</v>
      </c>
      <c r="F33" s="65">
        <v>17.239999999999998</v>
      </c>
      <c r="G33" s="67">
        <v>47.52</v>
      </c>
      <c r="H33" s="65" t="s">
        <v>59</v>
      </c>
      <c r="I33" s="66">
        <f t="shared" si="8"/>
        <v>76982.399999999994</v>
      </c>
      <c r="J33" s="66">
        <f t="shared" si="9"/>
        <v>3849.12</v>
      </c>
      <c r="K33" s="68">
        <f t="shared" si="10"/>
        <v>320.76</v>
      </c>
      <c r="L33" s="69">
        <v>68</v>
      </c>
      <c r="M33" s="70">
        <f t="shared" si="3"/>
        <v>10.7</v>
      </c>
      <c r="N33" s="51">
        <f t="shared" si="4"/>
        <v>0.19</v>
      </c>
      <c r="O33" s="7">
        <f t="shared" si="7"/>
        <v>68</v>
      </c>
      <c r="R33" s="6">
        <f t="shared" si="5"/>
        <v>81.599999999999994</v>
      </c>
      <c r="S33" s="6">
        <f t="shared" si="6"/>
        <v>97.92</v>
      </c>
      <c r="T33" s="6">
        <f t="shared" si="6"/>
        <v>117.5</v>
      </c>
      <c r="U33" s="6">
        <f t="shared" si="6"/>
        <v>141</v>
      </c>
      <c r="V33" s="6">
        <f t="shared" si="6"/>
        <v>169.2</v>
      </c>
    </row>
    <row r="34" spans="1:22" ht="15.75" x14ac:dyDescent="0.25">
      <c r="A34" s="64">
        <v>4</v>
      </c>
      <c r="B34" s="65" t="s">
        <v>60</v>
      </c>
      <c r="C34" s="66">
        <v>70.7</v>
      </c>
      <c r="D34" s="67">
        <v>215.2</v>
      </c>
      <c r="E34" s="65">
        <v>35.43</v>
      </c>
      <c r="F34" s="65">
        <v>23.22</v>
      </c>
      <c r="G34" s="67">
        <v>63.16</v>
      </c>
      <c r="H34" s="65" t="s">
        <v>55</v>
      </c>
      <c r="I34" s="66">
        <f t="shared" si="8"/>
        <v>102319.2</v>
      </c>
      <c r="J34" s="66">
        <f t="shared" si="9"/>
        <v>5115.96</v>
      </c>
      <c r="K34" s="68">
        <f t="shared" si="10"/>
        <v>426.33</v>
      </c>
      <c r="L34" s="69">
        <v>84</v>
      </c>
      <c r="M34" s="70">
        <f t="shared" si="3"/>
        <v>13.3</v>
      </c>
      <c r="N34" s="51">
        <f t="shared" si="4"/>
        <v>0.19</v>
      </c>
      <c r="O34" s="7">
        <f t="shared" si="7"/>
        <v>84</v>
      </c>
      <c r="R34" s="6">
        <f t="shared" si="5"/>
        <v>100.8</v>
      </c>
      <c r="S34" s="6">
        <f t="shared" si="6"/>
        <v>120.96</v>
      </c>
      <c r="T34" s="6">
        <f t="shared" si="6"/>
        <v>145.15</v>
      </c>
      <c r="U34" s="6">
        <f t="shared" si="6"/>
        <v>174.18</v>
      </c>
      <c r="V34" s="6">
        <f t="shared" si="6"/>
        <v>209.02</v>
      </c>
    </row>
    <row r="35" spans="1:22" ht="15.75" x14ac:dyDescent="0.25">
      <c r="A35" s="64">
        <v>5</v>
      </c>
      <c r="B35" s="65" t="s">
        <v>61</v>
      </c>
      <c r="C35" s="66">
        <v>40.94</v>
      </c>
      <c r="D35" s="67">
        <v>124.93</v>
      </c>
      <c r="E35" s="65">
        <v>12.26</v>
      </c>
      <c r="F35" s="65">
        <v>18.690000000000001</v>
      </c>
      <c r="G35" s="67">
        <v>35.619999999999997</v>
      </c>
      <c r="H35" s="65" t="s">
        <v>57</v>
      </c>
      <c r="I35" s="66">
        <f t="shared" si="8"/>
        <v>57704.4</v>
      </c>
      <c r="J35" s="66">
        <f t="shared" si="9"/>
        <v>2885.22</v>
      </c>
      <c r="K35" s="68">
        <f t="shared" si="10"/>
        <v>240.44</v>
      </c>
      <c r="L35" s="69">
        <v>49</v>
      </c>
      <c r="M35" s="70">
        <f t="shared" si="3"/>
        <v>8.06</v>
      </c>
      <c r="N35" s="51">
        <f t="shared" si="4"/>
        <v>0.2</v>
      </c>
      <c r="O35" s="7">
        <v>49</v>
      </c>
      <c r="R35" s="6">
        <f t="shared" si="5"/>
        <v>58.8</v>
      </c>
      <c r="S35" s="6">
        <f t="shared" si="6"/>
        <v>70.56</v>
      </c>
      <c r="T35" s="6">
        <f t="shared" si="6"/>
        <v>84.67</v>
      </c>
      <c r="U35" s="6">
        <f t="shared" si="6"/>
        <v>101.6</v>
      </c>
      <c r="V35" s="6">
        <f t="shared" si="6"/>
        <v>121.92</v>
      </c>
    </row>
    <row r="36" spans="1:22" ht="15.75" x14ac:dyDescent="0.25">
      <c r="A36" s="64">
        <v>6</v>
      </c>
      <c r="B36" s="65" t="s">
        <v>62</v>
      </c>
      <c r="C36" s="66">
        <v>55.53</v>
      </c>
      <c r="D36" s="67">
        <v>149.76</v>
      </c>
      <c r="E36" s="65">
        <v>25.77</v>
      </c>
      <c r="F36" s="65">
        <v>17.239999999999998</v>
      </c>
      <c r="G36" s="67">
        <v>47.52</v>
      </c>
      <c r="H36" s="65" t="s">
        <v>59</v>
      </c>
      <c r="I36" s="66">
        <f t="shared" si="8"/>
        <v>76982.399999999994</v>
      </c>
      <c r="J36" s="66">
        <f t="shared" si="9"/>
        <v>3849.12</v>
      </c>
      <c r="K36" s="68">
        <f t="shared" si="10"/>
        <v>320.76</v>
      </c>
      <c r="L36" s="69">
        <v>66</v>
      </c>
      <c r="M36" s="70">
        <f t="shared" si="3"/>
        <v>10.47</v>
      </c>
      <c r="N36" s="51">
        <f t="shared" si="4"/>
        <v>0.19</v>
      </c>
      <c r="O36" s="7">
        <f t="shared" si="7"/>
        <v>66</v>
      </c>
      <c r="R36" s="6">
        <f t="shared" si="5"/>
        <v>79.2</v>
      </c>
      <c r="S36" s="6">
        <f t="shared" si="6"/>
        <v>95.04</v>
      </c>
      <c r="T36" s="6">
        <f t="shared" si="6"/>
        <v>114.05</v>
      </c>
      <c r="U36" s="6">
        <f t="shared" si="6"/>
        <v>136.86000000000001</v>
      </c>
      <c r="V36" s="6">
        <f t="shared" si="6"/>
        <v>164.23</v>
      </c>
    </row>
    <row r="37" spans="1:22" ht="15.75" x14ac:dyDescent="0.25">
      <c r="A37" s="64">
        <v>7</v>
      </c>
      <c r="B37" s="65" t="s">
        <v>63</v>
      </c>
      <c r="C37" s="66">
        <v>70.7</v>
      </c>
      <c r="D37" s="67">
        <v>183.19</v>
      </c>
      <c r="E37" s="65">
        <v>35.43</v>
      </c>
      <c r="F37" s="65">
        <v>23.22</v>
      </c>
      <c r="G37" s="67">
        <v>63.16</v>
      </c>
      <c r="H37" s="65" t="s">
        <v>55</v>
      </c>
      <c r="I37" s="66">
        <f t="shared" si="8"/>
        <v>102319.2</v>
      </c>
      <c r="J37" s="66">
        <f t="shared" si="9"/>
        <v>5115.96</v>
      </c>
      <c r="K37" s="68">
        <f t="shared" si="10"/>
        <v>426.33</v>
      </c>
      <c r="L37" s="69">
        <v>84</v>
      </c>
      <c r="M37" s="70">
        <f t="shared" si="3"/>
        <v>13.3</v>
      </c>
      <c r="N37" s="51">
        <f t="shared" si="4"/>
        <v>0.19</v>
      </c>
      <c r="O37" s="7">
        <f t="shared" si="7"/>
        <v>84</v>
      </c>
      <c r="R37" s="6">
        <f t="shared" si="5"/>
        <v>100.8</v>
      </c>
      <c r="S37" s="6">
        <f t="shared" si="6"/>
        <v>120.96</v>
      </c>
      <c r="T37" s="6">
        <f t="shared" si="6"/>
        <v>145.15</v>
      </c>
      <c r="U37" s="6">
        <f t="shared" si="6"/>
        <v>174.18</v>
      </c>
      <c r="V37" s="6">
        <f t="shared" si="6"/>
        <v>209.02</v>
      </c>
    </row>
    <row r="38" spans="1:22" ht="15.75" x14ac:dyDescent="0.25">
      <c r="A38" s="64">
        <v>8</v>
      </c>
      <c r="B38" s="65" t="s">
        <v>64</v>
      </c>
      <c r="C38" s="66">
        <v>40.94</v>
      </c>
      <c r="D38" s="67">
        <v>224.15</v>
      </c>
      <c r="E38" s="65">
        <v>12.26</v>
      </c>
      <c r="F38" s="65">
        <v>18.690000000000001</v>
      </c>
      <c r="G38" s="67">
        <v>35.619999999999997</v>
      </c>
      <c r="H38" s="65" t="s">
        <v>57</v>
      </c>
      <c r="I38" s="66">
        <f t="shared" si="8"/>
        <v>57704.4</v>
      </c>
      <c r="J38" s="66">
        <f t="shared" si="9"/>
        <v>2885.22</v>
      </c>
      <c r="K38" s="68">
        <f t="shared" si="10"/>
        <v>240.44</v>
      </c>
      <c r="L38" s="69">
        <v>49</v>
      </c>
      <c r="M38" s="70">
        <f t="shared" si="3"/>
        <v>8.06</v>
      </c>
      <c r="N38" s="51">
        <f t="shared" si="4"/>
        <v>0.2</v>
      </c>
      <c r="O38" s="7">
        <v>49</v>
      </c>
      <c r="R38" s="6">
        <f t="shared" si="5"/>
        <v>58.8</v>
      </c>
      <c r="S38" s="6">
        <f t="shared" si="6"/>
        <v>70.56</v>
      </c>
      <c r="T38" s="6">
        <f t="shared" si="6"/>
        <v>84.67</v>
      </c>
      <c r="U38" s="6">
        <f t="shared" si="6"/>
        <v>101.6</v>
      </c>
      <c r="V38" s="6">
        <f t="shared" si="6"/>
        <v>121.92</v>
      </c>
    </row>
    <row r="39" spans="1:22" ht="15.75" x14ac:dyDescent="0.25">
      <c r="A39" s="64">
        <v>9</v>
      </c>
      <c r="B39" s="65" t="s">
        <v>65</v>
      </c>
      <c r="C39" s="66">
        <v>22.3</v>
      </c>
      <c r="D39" s="67">
        <v>173.04</v>
      </c>
      <c r="E39" s="65">
        <v>25.77</v>
      </c>
      <c r="F39" s="65">
        <v>17.239999999999998</v>
      </c>
      <c r="G39" s="67">
        <v>47.52</v>
      </c>
      <c r="H39" s="65" t="s">
        <v>59</v>
      </c>
      <c r="I39" s="66">
        <f t="shared" si="8"/>
        <v>76982.399999999994</v>
      </c>
      <c r="J39" s="66">
        <f t="shared" si="9"/>
        <v>3849.12</v>
      </c>
      <c r="K39" s="68">
        <f t="shared" si="10"/>
        <v>320.76</v>
      </c>
      <c r="L39" s="69">
        <v>26</v>
      </c>
      <c r="M39" s="70">
        <f t="shared" si="3"/>
        <v>3.7</v>
      </c>
      <c r="N39" s="51">
        <f t="shared" si="4"/>
        <v>0.17</v>
      </c>
      <c r="O39" s="7">
        <f t="shared" si="7"/>
        <v>26</v>
      </c>
      <c r="R39" s="6">
        <f t="shared" si="5"/>
        <v>31.2</v>
      </c>
      <c r="S39" s="6">
        <f t="shared" si="6"/>
        <v>37.44</v>
      </c>
      <c r="T39" s="6">
        <f t="shared" si="6"/>
        <v>44.93</v>
      </c>
      <c r="U39" s="6">
        <f t="shared" si="6"/>
        <v>53.92</v>
      </c>
      <c r="V39" s="6">
        <f t="shared" si="6"/>
        <v>64.7</v>
      </c>
    </row>
    <row r="40" spans="1:22" ht="15.75" x14ac:dyDescent="0.25">
      <c r="A40" s="64">
        <v>10</v>
      </c>
      <c r="B40" s="65" t="s">
        <v>66</v>
      </c>
      <c r="C40" s="66">
        <v>70.7</v>
      </c>
      <c r="D40" s="67">
        <v>240.83</v>
      </c>
      <c r="E40" s="65">
        <v>35.43</v>
      </c>
      <c r="F40" s="65">
        <v>23.22</v>
      </c>
      <c r="G40" s="67">
        <v>63.16</v>
      </c>
      <c r="H40" s="65" t="s">
        <v>55</v>
      </c>
      <c r="I40" s="66">
        <f t="shared" si="8"/>
        <v>102319.2</v>
      </c>
      <c r="J40" s="66">
        <f t="shared" si="9"/>
        <v>5115.96</v>
      </c>
      <c r="K40" s="68">
        <f t="shared" si="10"/>
        <v>426.33</v>
      </c>
      <c r="L40" s="69">
        <v>84</v>
      </c>
      <c r="M40" s="70">
        <f t="shared" si="3"/>
        <v>13.3</v>
      </c>
      <c r="N40" s="51">
        <f t="shared" si="4"/>
        <v>0.19</v>
      </c>
      <c r="O40" s="7">
        <f t="shared" si="7"/>
        <v>84</v>
      </c>
      <c r="R40" s="6">
        <f t="shared" si="5"/>
        <v>100.8</v>
      </c>
      <c r="S40" s="6">
        <f t="shared" si="6"/>
        <v>120.96</v>
      </c>
      <c r="T40" s="6">
        <f t="shared" si="6"/>
        <v>145.15</v>
      </c>
      <c r="U40" s="6">
        <f t="shared" si="6"/>
        <v>174.18</v>
      </c>
      <c r="V40" s="6">
        <f t="shared" si="6"/>
        <v>209.02</v>
      </c>
    </row>
    <row r="41" spans="1:22" ht="15.75" x14ac:dyDescent="0.25">
      <c r="A41" s="64">
        <v>11</v>
      </c>
      <c r="B41" s="65" t="s">
        <v>67</v>
      </c>
      <c r="C41" s="66">
        <v>40.94</v>
      </c>
      <c r="D41" s="67">
        <v>171.76</v>
      </c>
      <c r="E41" s="65">
        <v>12.26</v>
      </c>
      <c r="F41" s="65">
        <v>18.690000000000001</v>
      </c>
      <c r="G41" s="67">
        <v>35.619999999999997</v>
      </c>
      <c r="H41" s="65" t="s">
        <v>57</v>
      </c>
      <c r="I41" s="66">
        <f t="shared" si="8"/>
        <v>57704.4</v>
      </c>
      <c r="J41" s="66">
        <f t="shared" si="9"/>
        <v>2885.22</v>
      </c>
      <c r="K41" s="68">
        <f t="shared" si="10"/>
        <v>240.44</v>
      </c>
      <c r="L41" s="69">
        <v>49</v>
      </c>
      <c r="M41" s="70">
        <f t="shared" si="3"/>
        <v>8.06</v>
      </c>
      <c r="N41" s="51">
        <f t="shared" si="4"/>
        <v>0.2</v>
      </c>
      <c r="O41" s="7">
        <v>49</v>
      </c>
      <c r="R41" s="6">
        <f t="shared" si="5"/>
        <v>58.8</v>
      </c>
      <c r="S41" s="6">
        <f t="shared" si="6"/>
        <v>70.56</v>
      </c>
      <c r="T41" s="6">
        <f t="shared" si="6"/>
        <v>84.67</v>
      </c>
      <c r="U41" s="6">
        <f t="shared" si="6"/>
        <v>101.6</v>
      </c>
      <c r="V41" s="6">
        <f t="shared" si="6"/>
        <v>121.92</v>
      </c>
    </row>
    <row r="42" spans="1:22" ht="15.75" x14ac:dyDescent="0.25">
      <c r="A42" s="64">
        <v>12</v>
      </c>
      <c r="B42" s="65" t="s">
        <v>68</v>
      </c>
      <c r="C42" s="66">
        <v>57.3</v>
      </c>
      <c r="D42" s="67">
        <v>174.83</v>
      </c>
      <c r="E42" s="65">
        <v>25.77</v>
      </c>
      <c r="F42" s="65">
        <v>17.239999999999998</v>
      </c>
      <c r="G42" s="67">
        <v>47.52</v>
      </c>
      <c r="H42" s="65" t="s">
        <v>59</v>
      </c>
      <c r="I42" s="66">
        <f t="shared" si="8"/>
        <v>76982.399999999994</v>
      </c>
      <c r="J42" s="66">
        <f t="shared" si="9"/>
        <v>3849.12</v>
      </c>
      <c r="K42" s="68">
        <f t="shared" si="10"/>
        <v>320.76</v>
      </c>
      <c r="L42" s="69">
        <v>68</v>
      </c>
      <c r="M42" s="70">
        <f t="shared" si="3"/>
        <v>10.7</v>
      </c>
      <c r="N42" s="51">
        <f t="shared" si="4"/>
        <v>0.19</v>
      </c>
      <c r="O42" s="7">
        <f t="shared" si="7"/>
        <v>68</v>
      </c>
      <c r="R42" s="6">
        <f t="shared" si="5"/>
        <v>81.599999999999994</v>
      </c>
      <c r="S42" s="6">
        <f t="shared" si="6"/>
        <v>97.92</v>
      </c>
      <c r="T42" s="6">
        <f t="shared" si="6"/>
        <v>117.5</v>
      </c>
      <c r="U42" s="6">
        <f t="shared" si="6"/>
        <v>141</v>
      </c>
      <c r="V42" s="6">
        <f t="shared" si="6"/>
        <v>169.2</v>
      </c>
    </row>
    <row r="43" spans="1:22" ht="15.75" x14ac:dyDescent="0.25">
      <c r="A43" s="64">
        <v>13</v>
      </c>
      <c r="B43" s="65" t="s">
        <v>69</v>
      </c>
      <c r="C43" s="66">
        <v>70.7</v>
      </c>
      <c r="D43" s="67">
        <v>262.95999999999998</v>
      </c>
      <c r="E43" s="65">
        <v>35.43</v>
      </c>
      <c r="F43" s="65">
        <v>23.22</v>
      </c>
      <c r="G43" s="67">
        <v>63.16</v>
      </c>
      <c r="H43" s="65" t="s">
        <v>55</v>
      </c>
      <c r="I43" s="66">
        <f t="shared" si="8"/>
        <v>102319.2</v>
      </c>
      <c r="J43" s="66">
        <f t="shared" si="9"/>
        <v>5115.96</v>
      </c>
      <c r="K43" s="68">
        <f t="shared" si="10"/>
        <v>426.33</v>
      </c>
      <c r="L43" s="69">
        <v>84</v>
      </c>
      <c r="M43" s="70">
        <f t="shared" si="3"/>
        <v>13.3</v>
      </c>
      <c r="N43" s="51">
        <f t="shared" si="4"/>
        <v>0.19</v>
      </c>
      <c r="O43" s="7">
        <f t="shared" si="7"/>
        <v>84</v>
      </c>
      <c r="R43" s="6">
        <f t="shared" si="5"/>
        <v>100.8</v>
      </c>
      <c r="S43" s="6">
        <f t="shared" si="6"/>
        <v>120.96</v>
      </c>
      <c r="T43" s="6">
        <f t="shared" si="6"/>
        <v>145.15</v>
      </c>
      <c r="U43" s="6">
        <f t="shared" si="6"/>
        <v>174.18</v>
      </c>
      <c r="V43" s="6">
        <f t="shared" si="6"/>
        <v>209.02</v>
      </c>
    </row>
    <row r="44" spans="1:22" ht="15.75" x14ac:dyDescent="0.25">
      <c r="A44" s="64">
        <v>14</v>
      </c>
      <c r="B44" s="65" t="s">
        <v>70</v>
      </c>
      <c r="C44" s="66">
        <v>40.94</v>
      </c>
      <c r="D44" s="67">
        <v>168.57</v>
      </c>
      <c r="E44" s="65">
        <v>12.26</v>
      </c>
      <c r="F44" s="65">
        <v>18.690000000000001</v>
      </c>
      <c r="G44" s="67">
        <v>35.619999999999997</v>
      </c>
      <c r="H44" s="65" t="s">
        <v>57</v>
      </c>
      <c r="I44" s="66">
        <f t="shared" si="8"/>
        <v>57704.4</v>
      </c>
      <c r="J44" s="66">
        <f t="shared" si="9"/>
        <v>2885.22</v>
      </c>
      <c r="K44" s="68">
        <f t="shared" si="10"/>
        <v>240.44</v>
      </c>
      <c r="L44" s="69">
        <v>49</v>
      </c>
      <c r="M44" s="70">
        <f t="shared" si="3"/>
        <v>8.06</v>
      </c>
      <c r="N44" s="51">
        <f t="shared" si="4"/>
        <v>0.2</v>
      </c>
      <c r="O44" s="7">
        <v>49</v>
      </c>
      <c r="R44" s="6">
        <f t="shared" si="5"/>
        <v>58.8</v>
      </c>
      <c r="S44" s="6">
        <f t="shared" si="6"/>
        <v>70.56</v>
      </c>
      <c r="T44" s="6">
        <f t="shared" si="6"/>
        <v>84.67</v>
      </c>
      <c r="U44" s="6">
        <f t="shared" si="6"/>
        <v>101.6</v>
      </c>
      <c r="V44" s="6">
        <f t="shared" si="6"/>
        <v>121.92</v>
      </c>
    </row>
    <row r="45" spans="1:22" ht="15.75" x14ac:dyDescent="0.25">
      <c r="A45" s="64">
        <v>15</v>
      </c>
      <c r="B45" s="65" t="s">
        <v>71</v>
      </c>
      <c r="C45" s="66">
        <v>57.3</v>
      </c>
      <c r="D45" s="67">
        <v>147.49</v>
      </c>
      <c r="E45" s="65">
        <v>25.77</v>
      </c>
      <c r="F45" s="65">
        <v>17.239999999999998</v>
      </c>
      <c r="G45" s="67">
        <v>47.52</v>
      </c>
      <c r="H45" s="65" t="s">
        <v>59</v>
      </c>
      <c r="I45" s="66">
        <f t="shared" si="8"/>
        <v>76982.399999999994</v>
      </c>
      <c r="J45" s="66">
        <f t="shared" si="9"/>
        <v>3849.12</v>
      </c>
      <c r="K45" s="68">
        <f t="shared" si="10"/>
        <v>320.76</v>
      </c>
      <c r="L45" s="69">
        <v>68</v>
      </c>
      <c r="M45" s="70">
        <f t="shared" si="3"/>
        <v>10.7</v>
      </c>
      <c r="N45" s="51">
        <f t="shared" si="4"/>
        <v>0.19</v>
      </c>
      <c r="O45" s="7">
        <f t="shared" si="7"/>
        <v>68</v>
      </c>
      <c r="R45" s="6">
        <f t="shared" si="5"/>
        <v>81.599999999999994</v>
      </c>
      <c r="S45" s="6">
        <f t="shared" si="6"/>
        <v>97.92</v>
      </c>
      <c r="T45" s="6">
        <f t="shared" si="6"/>
        <v>117.5</v>
      </c>
      <c r="U45" s="6">
        <f t="shared" si="6"/>
        <v>141</v>
      </c>
      <c r="V45" s="6">
        <f t="shared" si="6"/>
        <v>169.2</v>
      </c>
    </row>
    <row r="46" spans="1:22" ht="15.75" x14ac:dyDescent="0.25">
      <c r="A46" s="27"/>
      <c r="C46" s="1"/>
      <c r="D46" s="5"/>
      <c r="G46" s="5"/>
      <c r="I46" s="1"/>
      <c r="J46" s="1"/>
      <c r="K46" s="14"/>
      <c r="L46" s="2"/>
      <c r="M46" s="6"/>
      <c r="N46" s="51"/>
      <c r="O46" s="7"/>
      <c r="R46" s="6"/>
      <c r="S46" s="6"/>
      <c r="T46" s="6"/>
      <c r="U46" s="6"/>
      <c r="V46" s="6"/>
    </row>
    <row r="47" spans="1:22" ht="15.75" x14ac:dyDescent="0.25">
      <c r="A47" s="77" t="s">
        <v>324</v>
      </c>
      <c r="C47" s="1"/>
      <c r="D47" s="5"/>
      <c r="G47" s="5"/>
      <c r="I47" s="1"/>
      <c r="J47" s="1"/>
      <c r="K47" s="14"/>
      <c r="L47" s="2"/>
      <c r="M47" s="6"/>
      <c r="N47" s="51"/>
      <c r="O47" s="7"/>
      <c r="R47" s="6">
        <f t="shared" si="5"/>
        <v>0</v>
      </c>
      <c r="S47" s="6">
        <f t="shared" si="6"/>
        <v>0</v>
      </c>
      <c r="T47" s="6">
        <f t="shared" si="6"/>
        <v>0</v>
      </c>
      <c r="U47" s="6">
        <f t="shared" si="6"/>
        <v>0</v>
      </c>
      <c r="V47" s="6">
        <f t="shared" si="6"/>
        <v>0</v>
      </c>
    </row>
    <row r="48" spans="1:22" ht="15.75" x14ac:dyDescent="0.25">
      <c r="A48" s="77">
        <v>1</v>
      </c>
      <c r="B48" s="78" t="s">
        <v>72</v>
      </c>
      <c r="C48" s="79">
        <v>94.15</v>
      </c>
      <c r="D48" s="80">
        <v>229.04</v>
      </c>
      <c r="E48" s="78">
        <v>53.68</v>
      </c>
      <c r="F48" s="78">
        <v>29.9</v>
      </c>
      <c r="G48" s="80">
        <v>97.38</v>
      </c>
      <c r="H48" s="78" t="s">
        <v>55</v>
      </c>
      <c r="I48" s="79">
        <f t="shared" ref="I48:I63" si="11">SUM(G48*$I$9)</f>
        <v>157755.6</v>
      </c>
      <c r="J48" s="79">
        <f t="shared" si="9"/>
        <v>7887.78</v>
      </c>
      <c r="K48" s="81">
        <f t="shared" si="10"/>
        <v>657.32</v>
      </c>
      <c r="L48" s="82">
        <v>112</v>
      </c>
      <c r="M48" s="83">
        <f t="shared" si="3"/>
        <v>17.850000000000001</v>
      </c>
      <c r="N48" s="75">
        <f t="shared" si="4"/>
        <v>0.19</v>
      </c>
      <c r="O48" s="76">
        <f t="shared" si="7"/>
        <v>112</v>
      </c>
      <c r="P48" s="30"/>
      <c r="Q48" s="30"/>
      <c r="R48" s="74">
        <f t="shared" si="5"/>
        <v>134.4</v>
      </c>
      <c r="S48" s="6">
        <f t="shared" si="6"/>
        <v>161.28</v>
      </c>
      <c r="T48" s="6">
        <f t="shared" si="6"/>
        <v>193.54</v>
      </c>
      <c r="U48" s="6">
        <f t="shared" si="6"/>
        <v>232.25</v>
      </c>
      <c r="V48" s="6">
        <f t="shared" si="6"/>
        <v>278.7</v>
      </c>
    </row>
    <row r="49" spans="1:22" ht="15.75" x14ac:dyDescent="0.25">
      <c r="A49" s="77">
        <v>2</v>
      </c>
      <c r="B49" s="78" t="s">
        <v>73</v>
      </c>
      <c r="C49" s="79">
        <v>70.7</v>
      </c>
      <c r="D49" s="80">
        <v>227.57</v>
      </c>
      <c r="E49" s="78">
        <v>35.43</v>
      </c>
      <c r="F49" s="78">
        <v>23.22</v>
      </c>
      <c r="G49" s="80">
        <v>63.16</v>
      </c>
      <c r="H49" s="78" t="s">
        <v>55</v>
      </c>
      <c r="I49" s="79">
        <f t="shared" si="11"/>
        <v>102319.2</v>
      </c>
      <c r="J49" s="79">
        <f t="shared" si="9"/>
        <v>5115.96</v>
      </c>
      <c r="K49" s="81">
        <f t="shared" si="10"/>
        <v>426.33</v>
      </c>
      <c r="L49" s="82">
        <v>84</v>
      </c>
      <c r="M49" s="83">
        <f t="shared" si="3"/>
        <v>13.3</v>
      </c>
      <c r="N49" s="75">
        <f t="shared" si="4"/>
        <v>0.19</v>
      </c>
      <c r="O49" s="76">
        <f t="shared" si="7"/>
        <v>84</v>
      </c>
      <c r="P49" s="30"/>
      <c r="Q49" s="30"/>
      <c r="R49" s="74">
        <f t="shared" si="5"/>
        <v>100.8</v>
      </c>
      <c r="S49" s="6">
        <f t="shared" si="6"/>
        <v>120.96</v>
      </c>
      <c r="T49" s="6">
        <f t="shared" si="6"/>
        <v>145.15</v>
      </c>
      <c r="U49" s="6">
        <f t="shared" si="6"/>
        <v>174.18</v>
      </c>
      <c r="V49" s="6">
        <f t="shared" si="6"/>
        <v>209.02</v>
      </c>
    </row>
    <row r="50" spans="1:22" ht="15.75" x14ac:dyDescent="0.25">
      <c r="A50" s="77">
        <v>3</v>
      </c>
      <c r="B50" s="78" t="s">
        <v>74</v>
      </c>
      <c r="C50" s="79">
        <v>40.94</v>
      </c>
      <c r="D50" s="80">
        <v>151.53</v>
      </c>
      <c r="E50" s="78">
        <v>12.26</v>
      </c>
      <c r="F50" s="78">
        <v>18.690000000000001</v>
      </c>
      <c r="G50" s="80">
        <v>35.619999999999997</v>
      </c>
      <c r="H50" s="78" t="s">
        <v>57</v>
      </c>
      <c r="I50" s="79">
        <f t="shared" si="11"/>
        <v>57704.4</v>
      </c>
      <c r="J50" s="79">
        <f t="shared" si="9"/>
        <v>2885.22</v>
      </c>
      <c r="K50" s="81">
        <f t="shared" si="10"/>
        <v>240.44</v>
      </c>
      <c r="L50" s="82">
        <v>49</v>
      </c>
      <c r="M50" s="83">
        <f t="shared" si="3"/>
        <v>8.06</v>
      </c>
      <c r="N50" s="75">
        <f t="shared" si="4"/>
        <v>0.2</v>
      </c>
      <c r="O50" s="76">
        <v>49</v>
      </c>
      <c r="P50" s="30"/>
      <c r="Q50" s="30"/>
      <c r="R50" s="74">
        <f t="shared" si="5"/>
        <v>58.8</v>
      </c>
      <c r="S50" s="6">
        <f t="shared" si="6"/>
        <v>70.56</v>
      </c>
      <c r="T50" s="6">
        <f t="shared" si="6"/>
        <v>84.67</v>
      </c>
      <c r="U50" s="6">
        <f t="shared" si="6"/>
        <v>101.6</v>
      </c>
      <c r="V50" s="6">
        <f t="shared" si="6"/>
        <v>121.92</v>
      </c>
    </row>
    <row r="51" spans="1:22" ht="15.75" x14ac:dyDescent="0.25">
      <c r="A51" s="77">
        <v>4</v>
      </c>
      <c r="B51" s="78" t="s">
        <v>75</v>
      </c>
      <c r="C51" s="79">
        <v>57.3</v>
      </c>
      <c r="D51" s="80">
        <v>144.37</v>
      </c>
      <c r="E51" s="78">
        <v>25.95</v>
      </c>
      <c r="F51" s="78">
        <v>17.41</v>
      </c>
      <c r="G51" s="80">
        <v>47.96</v>
      </c>
      <c r="H51" s="78" t="s">
        <v>59</v>
      </c>
      <c r="I51" s="79">
        <f t="shared" si="11"/>
        <v>77695.199999999997</v>
      </c>
      <c r="J51" s="79">
        <f t="shared" si="9"/>
        <v>3884.76</v>
      </c>
      <c r="K51" s="81">
        <f t="shared" si="10"/>
        <v>323.73</v>
      </c>
      <c r="L51" s="82">
        <v>68</v>
      </c>
      <c r="M51" s="83">
        <f t="shared" si="3"/>
        <v>10.7</v>
      </c>
      <c r="N51" s="75">
        <f t="shared" si="4"/>
        <v>0.19</v>
      </c>
      <c r="O51" s="76">
        <f t="shared" si="7"/>
        <v>68</v>
      </c>
      <c r="P51" s="30"/>
      <c r="Q51" s="30"/>
      <c r="R51" s="74">
        <f t="shared" si="5"/>
        <v>81.599999999999994</v>
      </c>
      <c r="S51" s="6">
        <f t="shared" si="6"/>
        <v>97.92</v>
      </c>
      <c r="T51" s="6">
        <f t="shared" si="6"/>
        <v>117.5</v>
      </c>
      <c r="U51" s="6">
        <f t="shared" si="6"/>
        <v>141</v>
      </c>
      <c r="V51" s="6">
        <f t="shared" si="6"/>
        <v>169.2</v>
      </c>
    </row>
    <row r="52" spans="1:22" ht="15.75" x14ac:dyDescent="0.25">
      <c r="A52" s="77">
        <v>5</v>
      </c>
      <c r="B52" s="78" t="s">
        <v>76</v>
      </c>
      <c r="C52" s="79">
        <v>70.7</v>
      </c>
      <c r="D52" s="80">
        <v>144.96</v>
      </c>
      <c r="E52" s="78">
        <v>35.43</v>
      </c>
      <c r="F52" s="78">
        <v>23.22</v>
      </c>
      <c r="G52" s="80">
        <v>63.16</v>
      </c>
      <c r="H52" s="78" t="s">
        <v>55</v>
      </c>
      <c r="I52" s="79">
        <f t="shared" si="11"/>
        <v>102319.2</v>
      </c>
      <c r="J52" s="79">
        <f t="shared" si="9"/>
        <v>5115.96</v>
      </c>
      <c r="K52" s="81">
        <f t="shared" si="10"/>
        <v>426.33</v>
      </c>
      <c r="L52" s="82">
        <v>84</v>
      </c>
      <c r="M52" s="83">
        <f t="shared" si="3"/>
        <v>13.3</v>
      </c>
      <c r="N52" s="75">
        <f t="shared" si="4"/>
        <v>0.19</v>
      </c>
      <c r="O52" s="76">
        <f t="shared" si="7"/>
        <v>84</v>
      </c>
      <c r="P52" s="30"/>
      <c r="Q52" s="30"/>
      <c r="R52" s="74">
        <f t="shared" si="5"/>
        <v>100.8</v>
      </c>
      <c r="S52" s="6">
        <f t="shared" si="6"/>
        <v>120.96</v>
      </c>
      <c r="T52" s="6">
        <f t="shared" si="6"/>
        <v>145.15</v>
      </c>
      <c r="U52" s="6">
        <f t="shared" si="6"/>
        <v>174.18</v>
      </c>
      <c r="V52" s="6">
        <f t="shared" si="6"/>
        <v>209.02</v>
      </c>
    </row>
    <row r="53" spans="1:22" ht="15.75" x14ac:dyDescent="0.25">
      <c r="A53" s="77">
        <v>6</v>
      </c>
      <c r="B53" s="78" t="s">
        <v>33</v>
      </c>
      <c r="C53" s="79">
        <v>40.94</v>
      </c>
      <c r="D53" s="80">
        <v>198.73</v>
      </c>
      <c r="E53" s="78">
        <v>12.26</v>
      </c>
      <c r="F53" s="78">
        <v>18.690000000000001</v>
      </c>
      <c r="G53" s="80">
        <v>35.619999999999997</v>
      </c>
      <c r="H53" s="78" t="s">
        <v>57</v>
      </c>
      <c r="I53" s="79">
        <f t="shared" si="11"/>
        <v>57704.4</v>
      </c>
      <c r="J53" s="79">
        <f t="shared" si="9"/>
        <v>2885.22</v>
      </c>
      <c r="K53" s="81">
        <f t="shared" si="10"/>
        <v>240.44</v>
      </c>
      <c r="L53" s="82">
        <v>49</v>
      </c>
      <c r="M53" s="83">
        <f t="shared" si="3"/>
        <v>8.06</v>
      </c>
      <c r="N53" s="75">
        <f t="shared" si="4"/>
        <v>0.2</v>
      </c>
      <c r="O53" s="76">
        <v>49</v>
      </c>
      <c r="P53" s="30"/>
      <c r="Q53" s="30"/>
      <c r="R53" s="74">
        <f t="shared" si="5"/>
        <v>58.8</v>
      </c>
      <c r="S53" s="6">
        <f t="shared" si="6"/>
        <v>70.56</v>
      </c>
      <c r="T53" s="6">
        <f t="shared" si="6"/>
        <v>84.67</v>
      </c>
      <c r="U53" s="6">
        <f t="shared" si="6"/>
        <v>101.6</v>
      </c>
      <c r="V53" s="6">
        <f t="shared" si="6"/>
        <v>121.92</v>
      </c>
    </row>
    <row r="54" spans="1:22" ht="15.75" x14ac:dyDescent="0.25">
      <c r="A54" s="77">
        <v>7</v>
      </c>
      <c r="B54" s="78" t="s">
        <v>77</v>
      </c>
      <c r="C54" s="79">
        <v>57.3</v>
      </c>
      <c r="D54" s="80">
        <v>172.05</v>
      </c>
      <c r="E54" s="78">
        <v>25.95</v>
      </c>
      <c r="F54" s="78">
        <v>17.41</v>
      </c>
      <c r="G54" s="80">
        <v>47.96</v>
      </c>
      <c r="H54" s="78" t="s">
        <v>59</v>
      </c>
      <c r="I54" s="79">
        <f t="shared" si="11"/>
        <v>77695.199999999997</v>
      </c>
      <c r="J54" s="79">
        <f t="shared" si="9"/>
        <v>3884.76</v>
      </c>
      <c r="K54" s="81">
        <f t="shared" si="10"/>
        <v>323.73</v>
      </c>
      <c r="L54" s="82">
        <v>68</v>
      </c>
      <c r="M54" s="83">
        <f t="shared" si="3"/>
        <v>10.7</v>
      </c>
      <c r="N54" s="75">
        <f t="shared" si="4"/>
        <v>0.19</v>
      </c>
      <c r="O54" s="76">
        <f t="shared" si="7"/>
        <v>68</v>
      </c>
      <c r="P54" s="30"/>
      <c r="Q54" s="30"/>
      <c r="R54" s="74">
        <f t="shared" si="5"/>
        <v>81.599999999999994</v>
      </c>
      <c r="S54" s="6">
        <f t="shared" si="6"/>
        <v>97.92</v>
      </c>
      <c r="T54" s="6">
        <f t="shared" si="6"/>
        <v>117.5</v>
      </c>
      <c r="U54" s="6">
        <f t="shared" si="6"/>
        <v>141</v>
      </c>
      <c r="V54" s="6">
        <f t="shared" si="6"/>
        <v>169.2</v>
      </c>
    </row>
    <row r="55" spans="1:22" ht="15.75" x14ac:dyDescent="0.25">
      <c r="A55" s="77">
        <v>8</v>
      </c>
      <c r="B55" s="78" t="s">
        <v>78</v>
      </c>
      <c r="C55" s="79">
        <v>70.7</v>
      </c>
      <c r="D55" s="80">
        <v>212.6</v>
      </c>
      <c r="E55" s="78">
        <v>35.43</v>
      </c>
      <c r="F55" s="78">
        <v>23.22</v>
      </c>
      <c r="G55" s="80">
        <v>63.16</v>
      </c>
      <c r="H55" s="78" t="s">
        <v>55</v>
      </c>
      <c r="I55" s="79">
        <f t="shared" si="11"/>
        <v>102319.2</v>
      </c>
      <c r="J55" s="79">
        <f t="shared" si="9"/>
        <v>5115.96</v>
      </c>
      <c r="K55" s="81">
        <f t="shared" si="10"/>
        <v>426.33</v>
      </c>
      <c r="L55" s="82">
        <v>84</v>
      </c>
      <c r="M55" s="83">
        <f t="shared" si="3"/>
        <v>13.3</v>
      </c>
      <c r="N55" s="75">
        <f t="shared" si="4"/>
        <v>0.19</v>
      </c>
      <c r="O55" s="76">
        <f t="shared" si="7"/>
        <v>84</v>
      </c>
      <c r="P55" s="30"/>
      <c r="Q55" s="30"/>
      <c r="R55" s="74">
        <f t="shared" si="5"/>
        <v>100.8</v>
      </c>
      <c r="S55" s="6">
        <f t="shared" si="6"/>
        <v>120.96</v>
      </c>
      <c r="T55" s="6">
        <f t="shared" si="6"/>
        <v>145.15</v>
      </c>
      <c r="U55" s="6">
        <f t="shared" si="6"/>
        <v>174.18</v>
      </c>
      <c r="V55" s="6">
        <f t="shared" si="6"/>
        <v>209.02</v>
      </c>
    </row>
    <row r="56" spans="1:22" ht="15.75" x14ac:dyDescent="0.25">
      <c r="A56" s="77">
        <v>9</v>
      </c>
      <c r="B56" s="78" t="s">
        <v>79</v>
      </c>
      <c r="C56" s="79">
        <v>40.94</v>
      </c>
      <c r="D56" s="80">
        <v>83.46</v>
      </c>
      <c r="E56" s="78">
        <v>12.26</v>
      </c>
      <c r="F56" s="78">
        <v>18.690000000000001</v>
      </c>
      <c r="G56" s="80">
        <v>35.619999999999997</v>
      </c>
      <c r="H56" s="78" t="s">
        <v>57</v>
      </c>
      <c r="I56" s="79">
        <f t="shared" si="11"/>
        <v>57704.4</v>
      </c>
      <c r="J56" s="79">
        <f t="shared" si="9"/>
        <v>2885.22</v>
      </c>
      <c r="K56" s="81">
        <f t="shared" si="10"/>
        <v>240.44</v>
      </c>
      <c r="L56" s="82">
        <v>49</v>
      </c>
      <c r="M56" s="83">
        <f t="shared" si="3"/>
        <v>8.06</v>
      </c>
      <c r="N56" s="75">
        <f t="shared" si="4"/>
        <v>0.2</v>
      </c>
      <c r="O56" s="76">
        <v>49</v>
      </c>
      <c r="P56" s="30"/>
      <c r="Q56" s="30"/>
      <c r="R56" s="74">
        <f t="shared" si="5"/>
        <v>58.8</v>
      </c>
      <c r="S56" s="6">
        <f t="shared" si="6"/>
        <v>70.56</v>
      </c>
      <c r="T56" s="6">
        <f t="shared" si="6"/>
        <v>84.67</v>
      </c>
      <c r="U56" s="6">
        <f t="shared" si="6"/>
        <v>101.6</v>
      </c>
      <c r="V56" s="6">
        <f t="shared" si="6"/>
        <v>121.92</v>
      </c>
    </row>
    <row r="57" spans="1:22" ht="15.75" x14ac:dyDescent="0.25">
      <c r="A57" s="77">
        <v>10</v>
      </c>
      <c r="B57" s="78" t="s">
        <v>80</v>
      </c>
      <c r="C57" s="79">
        <v>57.3</v>
      </c>
      <c r="D57" s="80">
        <v>179.04</v>
      </c>
      <c r="E57" s="78">
        <v>25.95</v>
      </c>
      <c r="F57" s="78">
        <v>17.41</v>
      </c>
      <c r="G57" s="80">
        <v>47.96</v>
      </c>
      <c r="H57" s="78" t="s">
        <v>59</v>
      </c>
      <c r="I57" s="79">
        <f t="shared" si="11"/>
        <v>77695.199999999997</v>
      </c>
      <c r="J57" s="79">
        <f t="shared" si="9"/>
        <v>3884.76</v>
      </c>
      <c r="K57" s="81">
        <f t="shared" si="10"/>
        <v>323.73</v>
      </c>
      <c r="L57" s="82">
        <v>68</v>
      </c>
      <c r="M57" s="83">
        <f t="shared" si="3"/>
        <v>10.7</v>
      </c>
      <c r="N57" s="75">
        <f t="shared" si="4"/>
        <v>0.19</v>
      </c>
      <c r="O57" s="76">
        <f t="shared" si="7"/>
        <v>68</v>
      </c>
      <c r="P57" s="30"/>
      <c r="Q57" s="30"/>
      <c r="R57" s="74">
        <f t="shared" si="5"/>
        <v>81.599999999999994</v>
      </c>
      <c r="S57" s="6">
        <f t="shared" si="6"/>
        <v>97.92</v>
      </c>
      <c r="T57" s="6">
        <f t="shared" si="6"/>
        <v>117.5</v>
      </c>
      <c r="U57" s="6">
        <f t="shared" si="6"/>
        <v>141</v>
      </c>
      <c r="V57" s="6">
        <f t="shared" si="6"/>
        <v>169.2</v>
      </c>
    </row>
    <row r="58" spans="1:22" ht="15.75" x14ac:dyDescent="0.25">
      <c r="A58" s="77">
        <v>11</v>
      </c>
      <c r="B58" s="78" t="s">
        <v>81</v>
      </c>
      <c r="C58" s="79">
        <v>70.7</v>
      </c>
      <c r="D58" s="80">
        <v>261.51</v>
      </c>
      <c r="E58" s="78">
        <v>35.43</v>
      </c>
      <c r="F58" s="78">
        <v>23.22</v>
      </c>
      <c r="G58" s="80">
        <v>63.16</v>
      </c>
      <c r="H58" s="78" t="s">
        <v>55</v>
      </c>
      <c r="I58" s="79">
        <f t="shared" si="11"/>
        <v>102319.2</v>
      </c>
      <c r="J58" s="79">
        <f t="shared" si="9"/>
        <v>5115.96</v>
      </c>
      <c r="K58" s="81">
        <f t="shared" si="10"/>
        <v>426.33</v>
      </c>
      <c r="L58" s="82">
        <v>84</v>
      </c>
      <c r="M58" s="83">
        <f t="shared" si="3"/>
        <v>13.3</v>
      </c>
      <c r="N58" s="75">
        <f t="shared" si="4"/>
        <v>0.19</v>
      </c>
      <c r="O58" s="76">
        <f t="shared" si="7"/>
        <v>84</v>
      </c>
      <c r="P58" s="30"/>
      <c r="Q58" s="30"/>
      <c r="R58" s="74">
        <f t="shared" si="5"/>
        <v>100.8</v>
      </c>
      <c r="S58" s="6">
        <f t="shared" si="6"/>
        <v>120.96</v>
      </c>
      <c r="T58" s="6">
        <f t="shared" si="6"/>
        <v>145.15</v>
      </c>
      <c r="U58" s="6">
        <f t="shared" si="6"/>
        <v>174.18</v>
      </c>
      <c r="V58" s="6">
        <f t="shared" si="6"/>
        <v>209.02</v>
      </c>
    </row>
    <row r="59" spans="1:22" ht="15.75" x14ac:dyDescent="0.25">
      <c r="A59" s="77">
        <v>12</v>
      </c>
      <c r="B59" s="78" t="s">
        <v>82</v>
      </c>
      <c r="C59" s="79">
        <v>40.94</v>
      </c>
      <c r="D59" s="80">
        <v>88.18</v>
      </c>
      <c r="E59" s="78">
        <v>12.26</v>
      </c>
      <c r="F59" s="78">
        <v>18.690000000000001</v>
      </c>
      <c r="G59" s="80">
        <v>35.619999999999997</v>
      </c>
      <c r="H59" s="78" t="s">
        <v>57</v>
      </c>
      <c r="I59" s="79">
        <f t="shared" si="11"/>
        <v>57704.4</v>
      </c>
      <c r="J59" s="79">
        <f t="shared" si="9"/>
        <v>2885.22</v>
      </c>
      <c r="K59" s="81">
        <f t="shared" si="10"/>
        <v>240.44</v>
      </c>
      <c r="L59" s="82">
        <v>49</v>
      </c>
      <c r="M59" s="83">
        <f t="shared" si="3"/>
        <v>8.06</v>
      </c>
      <c r="N59" s="75">
        <f t="shared" si="4"/>
        <v>0.2</v>
      </c>
      <c r="O59" s="76">
        <v>49</v>
      </c>
      <c r="P59" s="30"/>
      <c r="Q59" s="30"/>
      <c r="R59" s="74">
        <f t="shared" si="5"/>
        <v>58.8</v>
      </c>
      <c r="S59" s="6">
        <f t="shared" si="6"/>
        <v>70.56</v>
      </c>
      <c r="T59" s="6">
        <f t="shared" si="6"/>
        <v>84.67</v>
      </c>
      <c r="U59" s="6">
        <f t="shared" si="6"/>
        <v>101.6</v>
      </c>
      <c r="V59" s="6">
        <f t="shared" si="6"/>
        <v>121.92</v>
      </c>
    </row>
    <row r="60" spans="1:22" ht="15.75" x14ac:dyDescent="0.25">
      <c r="A60" s="77">
        <v>13</v>
      </c>
      <c r="B60" s="78" t="s">
        <v>83</v>
      </c>
      <c r="C60" s="79">
        <v>57.3</v>
      </c>
      <c r="D60" s="80">
        <v>279.27</v>
      </c>
      <c r="E60" s="78">
        <v>25.95</v>
      </c>
      <c r="F60" s="78">
        <v>17.41</v>
      </c>
      <c r="G60" s="80">
        <v>47.96</v>
      </c>
      <c r="H60" s="78" t="s">
        <v>59</v>
      </c>
      <c r="I60" s="79">
        <f t="shared" si="11"/>
        <v>77695.199999999997</v>
      </c>
      <c r="J60" s="79">
        <f t="shared" si="9"/>
        <v>3884.76</v>
      </c>
      <c r="K60" s="81">
        <f t="shared" si="10"/>
        <v>323.73</v>
      </c>
      <c r="L60" s="82">
        <v>68</v>
      </c>
      <c r="M60" s="83">
        <f t="shared" si="3"/>
        <v>10.7</v>
      </c>
      <c r="N60" s="75">
        <f t="shared" si="4"/>
        <v>0.19</v>
      </c>
      <c r="O60" s="76">
        <f t="shared" si="7"/>
        <v>68</v>
      </c>
      <c r="P60" s="30"/>
      <c r="Q60" s="30"/>
      <c r="R60" s="74">
        <f t="shared" si="5"/>
        <v>81.599999999999994</v>
      </c>
      <c r="S60" s="6">
        <f t="shared" si="6"/>
        <v>97.92</v>
      </c>
      <c r="T60" s="6">
        <f t="shared" si="6"/>
        <v>117.5</v>
      </c>
      <c r="U60" s="6">
        <f t="shared" si="6"/>
        <v>141</v>
      </c>
      <c r="V60" s="6">
        <f t="shared" si="6"/>
        <v>169.2</v>
      </c>
    </row>
    <row r="61" spans="1:22" ht="15.75" x14ac:dyDescent="0.25">
      <c r="A61" s="77">
        <v>14</v>
      </c>
      <c r="B61" s="78" t="s">
        <v>84</v>
      </c>
      <c r="C61" s="79">
        <v>70.7</v>
      </c>
      <c r="D61" s="80">
        <v>248.92</v>
      </c>
      <c r="E61" s="78">
        <v>35.43</v>
      </c>
      <c r="F61" s="78">
        <v>23.22</v>
      </c>
      <c r="G61" s="80">
        <v>63.16</v>
      </c>
      <c r="H61" s="78" t="s">
        <v>55</v>
      </c>
      <c r="I61" s="79">
        <f t="shared" si="11"/>
        <v>102319.2</v>
      </c>
      <c r="J61" s="79">
        <f t="shared" si="9"/>
        <v>5115.96</v>
      </c>
      <c r="K61" s="81">
        <f t="shared" si="10"/>
        <v>426.33</v>
      </c>
      <c r="L61" s="82">
        <v>84</v>
      </c>
      <c r="M61" s="83">
        <f t="shared" si="3"/>
        <v>13.3</v>
      </c>
      <c r="N61" s="75">
        <f t="shared" si="4"/>
        <v>0.19</v>
      </c>
      <c r="O61" s="76">
        <f t="shared" si="7"/>
        <v>84</v>
      </c>
      <c r="P61" s="30"/>
      <c r="Q61" s="30"/>
      <c r="R61" s="74">
        <f t="shared" si="5"/>
        <v>100.8</v>
      </c>
      <c r="S61" s="6">
        <f t="shared" si="6"/>
        <v>120.96</v>
      </c>
      <c r="T61" s="6">
        <f t="shared" si="6"/>
        <v>145.15</v>
      </c>
      <c r="U61" s="6">
        <f t="shared" si="6"/>
        <v>174.18</v>
      </c>
      <c r="V61" s="6">
        <f t="shared" si="6"/>
        <v>209.02</v>
      </c>
    </row>
    <row r="62" spans="1:22" ht="15.75" x14ac:dyDescent="0.25">
      <c r="A62" s="77">
        <v>15</v>
      </c>
      <c r="B62" s="78" t="s">
        <v>85</v>
      </c>
      <c r="C62" s="79">
        <v>40.94</v>
      </c>
      <c r="D62" s="80">
        <v>131.28</v>
      </c>
      <c r="E62" s="78">
        <v>12.26</v>
      </c>
      <c r="F62" s="78">
        <v>18.690000000000001</v>
      </c>
      <c r="G62" s="80">
        <v>35.619999999999997</v>
      </c>
      <c r="H62" s="78" t="s">
        <v>57</v>
      </c>
      <c r="I62" s="79">
        <f t="shared" si="11"/>
        <v>57704.4</v>
      </c>
      <c r="J62" s="79">
        <f t="shared" si="9"/>
        <v>2885.22</v>
      </c>
      <c r="K62" s="81">
        <f t="shared" si="10"/>
        <v>240.44</v>
      </c>
      <c r="L62" s="82">
        <v>49</v>
      </c>
      <c r="M62" s="83">
        <f t="shared" si="3"/>
        <v>8.06</v>
      </c>
      <c r="N62" s="75">
        <f t="shared" si="4"/>
        <v>0.2</v>
      </c>
      <c r="O62" s="76">
        <v>49</v>
      </c>
      <c r="P62" s="30"/>
      <c r="Q62" s="30"/>
      <c r="R62" s="74">
        <f t="shared" si="5"/>
        <v>58.8</v>
      </c>
      <c r="S62" s="6">
        <f t="shared" si="6"/>
        <v>70.56</v>
      </c>
      <c r="T62" s="6">
        <f t="shared" si="6"/>
        <v>84.67</v>
      </c>
      <c r="U62" s="6">
        <f t="shared" si="6"/>
        <v>101.6</v>
      </c>
      <c r="V62" s="6">
        <f t="shared" si="6"/>
        <v>121.92</v>
      </c>
    </row>
    <row r="63" spans="1:22" ht="15.75" x14ac:dyDescent="0.25">
      <c r="A63" s="77">
        <v>16</v>
      </c>
      <c r="B63" s="78" t="s">
        <v>86</v>
      </c>
      <c r="C63" s="79">
        <v>57.3</v>
      </c>
      <c r="D63" s="80">
        <v>186.98</v>
      </c>
      <c r="E63" s="78">
        <v>25.95</v>
      </c>
      <c r="F63" s="78">
        <v>17.41</v>
      </c>
      <c r="G63" s="80">
        <v>47.96</v>
      </c>
      <c r="H63" s="78" t="s">
        <v>59</v>
      </c>
      <c r="I63" s="79">
        <f t="shared" si="11"/>
        <v>77695.199999999997</v>
      </c>
      <c r="J63" s="79">
        <f t="shared" si="9"/>
        <v>3884.76</v>
      </c>
      <c r="K63" s="81">
        <f t="shared" si="10"/>
        <v>323.73</v>
      </c>
      <c r="L63" s="82">
        <v>68</v>
      </c>
      <c r="M63" s="83">
        <f t="shared" si="3"/>
        <v>10.7</v>
      </c>
      <c r="N63" s="75">
        <f t="shared" si="4"/>
        <v>0.19</v>
      </c>
      <c r="O63" s="76">
        <f t="shared" si="7"/>
        <v>68</v>
      </c>
      <c r="P63" s="30"/>
      <c r="Q63" s="30"/>
      <c r="R63" s="74">
        <f t="shared" si="5"/>
        <v>81.599999999999994</v>
      </c>
      <c r="S63" s="6">
        <f t="shared" si="6"/>
        <v>97.92</v>
      </c>
      <c r="T63" s="6">
        <f t="shared" si="6"/>
        <v>117.5</v>
      </c>
      <c r="U63" s="6">
        <f t="shared" si="6"/>
        <v>141</v>
      </c>
      <c r="V63" s="6">
        <f t="shared" si="6"/>
        <v>169.2</v>
      </c>
    </row>
    <row r="64" spans="1:22" ht="15.75" hidden="1" x14ac:dyDescent="0.25">
      <c r="A64" s="27"/>
      <c r="B64" s="3" t="s">
        <v>224</v>
      </c>
      <c r="C64" s="2">
        <f>SUM(C14:C63)</f>
        <v>2592.8000000000002</v>
      </c>
      <c r="D64" s="15"/>
      <c r="E64" s="3"/>
      <c r="F64" s="3"/>
      <c r="G64" s="3"/>
      <c r="H64" s="3"/>
      <c r="I64" s="2"/>
      <c r="J64" s="2"/>
      <c r="K64" s="19">
        <f>SUM(K31:K63)</f>
        <v>10547.47</v>
      </c>
      <c r="L64" s="2">
        <f>SUM(L14:L63)</f>
        <v>3084</v>
      </c>
      <c r="R64" s="2">
        <f>SUM(R14:R63)</f>
        <v>3700.8</v>
      </c>
      <c r="S64" s="2">
        <f>SUM(S14:S63)</f>
        <v>4440.96</v>
      </c>
      <c r="T64" s="2">
        <f>SUM(T14:T63)</f>
        <v>5329.05</v>
      </c>
      <c r="U64" s="2">
        <f>SUM(U14:U63)</f>
        <v>6394.81</v>
      </c>
      <c r="V64" s="2">
        <f>SUM(V14:V63)</f>
        <v>7673.83</v>
      </c>
    </row>
    <row r="65" spans="1:22" ht="15.75" hidden="1" x14ac:dyDescent="0.25">
      <c r="C65" s="5"/>
      <c r="D65" s="5"/>
      <c r="I65" s="1" t="s">
        <v>314</v>
      </c>
      <c r="K65" s="12"/>
      <c r="L65" s="2">
        <f>SUM(L64-C64)</f>
        <v>491.2</v>
      </c>
      <c r="M65" s="12"/>
      <c r="N65" s="12"/>
      <c r="R65" s="2">
        <f>SUM(R64-L64)</f>
        <v>616.79999999999995</v>
      </c>
      <c r="S65" s="2">
        <f>SUM(S64-R64)</f>
        <v>740.16</v>
      </c>
      <c r="T65" s="2">
        <f>SUM(T64-S64)</f>
        <v>888.09</v>
      </c>
      <c r="U65" s="2">
        <f>SUM(U64-T64)</f>
        <v>1065.76</v>
      </c>
      <c r="V65" s="2">
        <f>SUM(V64-U64)</f>
        <v>1279.02</v>
      </c>
    </row>
    <row r="66" spans="1:22" hidden="1" x14ac:dyDescent="0.2">
      <c r="C66" s="5"/>
      <c r="D66" s="5"/>
      <c r="I66" s="1"/>
      <c r="J66" s="1"/>
      <c r="K66" s="14"/>
      <c r="L66" s="1">
        <f>L65*12</f>
        <v>5894.4</v>
      </c>
      <c r="R66" s="1">
        <f>R65*12</f>
        <v>7401.6</v>
      </c>
      <c r="S66" s="1">
        <f>S65*12</f>
        <v>8881.92</v>
      </c>
      <c r="T66" s="1">
        <f>T65*12</f>
        <v>10657.08</v>
      </c>
      <c r="U66" s="1">
        <f>U65*12</f>
        <v>12789.12</v>
      </c>
      <c r="V66" s="1">
        <f>V65*12</f>
        <v>15348.24</v>
      </c>
    </row>
    <row r="67" spans="1:22" hidden="1" x14ac:dyDescent="0.2">
      <c r="C67" s="5"/>
      <c r="D67" s="5"/>
      <c r="I67" s="1"/>
      <c r="J67" s="1"/>
      <c r="K67" s="14"/>
      <c r="L67" s="1"/>
    </row>
    <row r="68" spans="1:22" hidden="1" x14ac:dyDescent="0.2">
      <c r="C68" s="5"/>
      <c r="D68" s="5"/>
      <c r="I68" s="1"/>
      <c r="J68" s="1"/>
      <c r="K68" s="14"/>
      <c r="L68" s="1"/>
    </row>
    <row r="69" spans="1:22" hidden="1" x14ac:dyDescent="0.2">
      <c r="A69" s="135" t="s">
        <v>306</v>
      </c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</row>
    <row r="70" spans="1:22" hidden="1" x14ac:dyDescent="0.2">
      <c r="K70" s="1"/>
      <c r="L70" s="1"/>
      <c r="M70" s="1"/>
      <c r="N70" s="1"/>
      <c r="O70" s="1"/>
      <c r="P70" s="1"/>
    </row>
    <row r="71" spans="1:22" ht="33" hidden="1" customHeight="1" x14ac:dyDescent="0.2">
      <c r="A71" s="131" t="s">
        <v>305</v>
      </c>
      <c r="B71" s="131"/>
      <c r="C71" s="131"/>
      <c r="D71" s="131"/>
      <c r="E71" s="131"/>
      <c r="F71" s="131"/>
      <c r="G71" s="131"/>
      <c r="H71" s="131"/>
      <c r="I71" s="131"/>
      <c r="J71" s="34" t="s">
        <v>325</v>
      </c>
      <c r="K71" s="132" t="s">
        <v>326</v>
      </c>
      <c r="L71" s="133"/>
      <c r="M71" s="1"/>
      <c r="N71" s="1"/>
      <c r="O71" s="1"/>
      <c r="P71" s="1"/>
    </row>
    <row r="72" spans="1:22" ht="15.75" hidden="1" x14ac:dyDescent="0.25">
      <c r="B72" s="22" t="s">
        <v>274</v>
      </c>
      <c r="E72" s="5"/>
      <c r="F72" s="5"/>
      <c r="K72" s="2"/>
      <c r="L72" s="2"/>
    </row>
    <row r="73" spans="1:22" hidden="1" x14ac:dyDescent="0.2">
      <c r="A73" t="s">
        <v>331</v>
      </c>
      <c r="B73" s="22"/>
      <c r="E73" s="5"/>
      <c r="F73" s="5"/>
      <c r="K73" s="1"/>
      <c r="L73" s="1"/>
    </row>
    <row r="74" spans="1:22" hidden="1" x14ac:dyDescent="0.2">
      <c r="B74" s="22"/>
      <c r="E74" s="5"/>
      <c r="F74" s="5"/>
      <c r="K74" s="1"/>
      <c r="L74" s="1"/>
    </row>
    <row r="75" spans="1:22" hidden="1" x14ac:dyDescent="0.2">
      <c r="B75" s="22"/>
      <c r="K75" s="1"/>
      <c r="L75" s="1"/>
    </row>
    <row r="76" spans="1:22" hidden="1" x14ac:dyDescent="0.2">
      <c r="B76" s="22"/>
      <c r="K76" s="1"/>
      <c r="L76" s="1"/>
    </row>
    <row r="77" spans="1:22" hidden="1" x14ac:dyDescent="0.2">
      <c r="B77" s="22"/>
      <c r="K77" s="1"/>
      <c r="L77" s="1"/>
    </row>
    <row r="78" spans="1:22" hidden="1" x14ac:dyDescent="0.2">
      <c r="B78" s="22"/>
      <c r="K78" s="1"/>
      <c r="L78" s="1"/>
    </row>
    <row r="79" spans="1:22" hidden="1" x14ac:dyDescent="0.2">
      <c r="B79" s="22"/>
      <c r="K79" s="1"/>
      <c r="L79" s="1"/>
    </row>
    <row r="80" spans="1:22" hidden="1" x14ac:dyDescent="0.2">
      <c r="B80" s="22"/>
      <c r="K80" s="1"/>
      <c r="L80" s="1"/>
    </row>
    <row r="81" spans="2:12" hidden="1" x14ac:dyDescent="0.2">
      <c r="B81" s="22"/>
      <c r="K81" s="1"/>
      <c r="L81" s="1"/>
    </row>
    <row r="82" spans="2:12" hidden="1" x14ac:dyDescent="0.2">
      <c r="B82" s="22"/>
      <c r="K82" s="1"/>
      <c r="L82" s="1"/>
    </row>
    <row r="83" spans="2:12" hidden="1" x14ac:dyDescent="0.2">
      <c r="B83" s="22"/>
      <c r="K83" s="1"/>
      <c r="L83" s="1"/>
    </row>
    <row r="84" spans="2:12" hidden="1" x14ac:dyDescent="0.2">
      <c r="B84" s="22"/>
      <c r="K84" s="1"/>
      <c r="L84" s="1"/>
    </row>
    <row r="85" spans="2:12" hidden="1" x14ac:dyDescent="0.2">
      <c r="B85" s="22"/>
      <c r="K85" s="1"/>
      <c r="L85" s="1"/>
    </row>
    <row r="86" spans="2:12" hidden="1" x14ac:dyDescent="0.2">
      <c r="B86" s="22"/>
      <c r="K86" s="1"/>
      <c r="L86" s="1"/>
    </row>
    <row r="87" spans="2:12" hidden="1" x14ac:dyDescent="0.2">
      <c r="B87" s="22"/>
      <c r="K87" s="1"/>
      <c r="L87" s="1"/>
    </row>
    <row r="88" spans="2:12" hidden="1" x14ac:dyDescent="0.2">
      <c r="B88" s="22"/>
      <c r="K88" s="1"/>
      <c r="L88" s="1"/>
    </row>
    <row r="89" spans="2:12" hidden="1" x14ac:dyDescent="0.2">
      <c r="B89" s="22"/>
      <c r="K89" s="1"/>
      <c r="L89" s="1"/>
    </row>
    <row r="90" spans="2:12" hidden="1" x14ac:dyDescent="0.2">
      <c r="B90" s="22"/>
    </row>
    <row r="91" spans="2:12" hidden="1" x14ac:dyDescent="0.2">
      <c r="B91" s="22"/>
    </row>
    <row r="92" spans="2:12" hidden="1" x14ac:dyDescent="0.2">
      <c r="B92" s="22"/>
    </row>
    <row r="93" spans="2:12" hidden="1" x14ac:dyDescent="0.2">
      <c r="B93" s="22"/>
    </row>
    <row r="94" spans="2:12" hidden="1" x14ac:dyDescent="0.2">
      <c r="B94" s="22"/>
    </row>
    <row r="95" spans="2:12" hidden="1" x14ac:dyDescent="0.2">
      <c r="B95" s="22"/>
    </row>
    <row r="96" spans="2:12" hidden="1" x14ac:dyDescent="0.2">
      <c r="B96" s="22"/>
    </row>
    <row r="97" spans="2:2" hidden="1" x14ac:dyDescent="0.2">
      <c r="B97" s="22"/>
    </row>
    <row r="98" spans="2:2" hidden="1" x14ac:dyDescent="0.2">
      <c r="B98" s="22"/>
    </row>
    <row r="99" spans="2:2" hidden="1" x14ac:dyDescent="0.2">
      <c r="B99" s="22"/>
    </row>
    <row r="100" spans="2:2" x14ac:dyDescent="0.2">
      <c r="B100" s="22"/>
    </row>
    <row r="101" spans="2:2" x14ac:dyDescent="0.2">
      <c r="B101" s="22"/>
    </row>
    <row r="102" spans="2:2" x14ac:dyDescent="0.2">
      <c r="B102" s="22"/>
    </row>
    <row r="103" spans="2:2" x14ac:dyDescent="0.2">
      <c r="B103" s="22"/>
    </row>
    <row r="104" spans="2:2" x14ac:dyDescent="0.2">
      <c r="B104" s="22"/>
    </row>
    <row r="105" spans="2:2" x14ac:dyDescent="0.2">
      <c r="B105" s="22"/>
    </row>
    <row r="106" spans="2:2" x14ac:dyDescent="0.2">
      <c r="B106" s="22"/>
    </row>
    <row r="107" spans="2:2" x14ac:dyDescent="0.2">
      <c r="B107" s="22"/>
    </row>
    <row r="108" spans="2:2" x14ac:dyDescent="0.2">
      <c r="B108" s="22"/>
    </row>
  </sheetData>
  <mergeCells count="3">
    <mergeCell ref="A69:R69"/>
    <mergeCell ref="A71:I71"/>
    <mergeCell ref="K71:L71"/>
  </mergeCells>
  <phoneticPr fontId="27" type="noConversion"/>
  <pageMargins left="0.7" right="0.7" top="0.75" bottom="0.75" header="0.3" footer="0.3"/>
  <pageSetup paperSize="9" scale="81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6B860-273C-41D4-9572-1DC1823D1018}">
  <sheetPr>
    <pageSetUpPr fitToPage="1"/>
  </sheetPr>
  <dimension ref="A1:W89"/>
  <sheetViews>
    <sheetView topLeftCell="A34" zoomScale="85" zoomScaleNormal="85" workbookViewId="0">
      <selection activeCell="P33" sqref="P33"/>
    </sheetView>
  </sheetViews>
  <sheetFormatPr defaultRowHeight="15" x14ac:dyDescent="0.2"/>
  <cols>
    <col min="1" max="1" width="17.33203125" style="12" bestFit="1" customWidth="1"/>
    <col min="2" max="2" width="20.5546875" hidden="1" customWidth="1"/>
    <col min="3" max="3" width="9.5546875" bestFit="1" customWidth="1"/>
    <col min="4" max="4" width="23.88671875" hidden="1" customWidth="1"/>
    <col min="5" max="6" width="8.88671875" hidden="1" customWidth="1"/>
    <col min="7" max="7" width="10" hidden="1" customWidth="1"/>
    <col min="8" max="8" width="8.88671875" hidden="1" customWidth="1"/>
    <col min="9" max="9" width="13.6640625" hidden="1" customWidth="1"/>
    <col min="10" max="13" width="11.109375" hidden="1" customWidth="1"/>
    <col min="14" max="14" width="9.5546875" hidden="1" customWidth="1"/>
    <col min="15" max="15" width="12.6640625" hidden="1" customWidth="1"/>
    <col min="16" max="16" width="13.33203125" customWidth="1"/>
    <col min="17" max="17" width="10.88671875" hidden="1" customWidth="1"/>
    <col min="18" max="18" width="12.109375" bestFit="1" customWidth="1"/>
    <col min="19" max="19" width="10.44140625" hidden="1" customWidth="1"/>
    <col min="20" max="21" width="11.21875" hidden="1" customWidth="1"/>
    <col min="22" max="22" width="11.6640625" hidden="1" customWidth="1"/>
    <col min="23" max="23" width="13.6640625" hidden="1" customWidth="1"/>
    <col min="24" max="28" width="0" hidden="1" customWidth="1"/>
  </cols>
  <sheetData>
    <row r="1" spans="1:22" ht="18" x14ac:dyDescent="0.25">
      <c r="A1" s="84" t="s">
        <v>359</v>
      </c>
    </row>
    <row r="2" spans="1:22" hidden="1" x14ac:dyDescent="0.2">
      <c r="A2" s="12" t="s">
        <v>294</v>
      </c>
    </row>
    <row r="3" spans="1:22" hidden="1" x14ac:dyDescent="0.2">
      <c r="A3" s="12" t="s">
        <v>295</v>
      </c>
    </row>
    <row r="4" spans="1:22" hidden="1" x14ac:dyDescent="0.2"/>
    <row r="5" spans="1:22" ht="15.75" hidden="1" x14ac:dyDescent="0.25">
      <c r="A5" s="12" t="s">
        <v>361</v>
      </c>
    </row>
    <row r="6" spans="1:22" hidden="1" x14ac:dyDescent="0.2"/>
    <row r="7" spans="1:22" ht="15.75" hidden="1" x14ac:dyDescent="0.25">
      <c r="H7" s="3" t="s">
        <v>308</v>
      </c>
      <c r="I7" s="2">
        <v>2038917.35</v>
      </c>
    </row>
    <row r="8" spans="1:22" hidden="1" x14ac:dyDescent="0.2">
      <c r="H8" t="s">
        <v>309</v>
      </c>
      <c r="I8" s="1">
        <f>SUM(G16:G71)</f>
        <v>2922.09</v>
      </c>
    </row>
    <row r="9" spans="1:22" ht="15.75" hidden="1" x14ac:dyDescent="0.25">
      <c r="H9" t="s">
        <v>310</v>
      </c>
      <c r="I9" s="4">
        <f>SUM(I7/I8)</f>
        <v>697.76</v>
      </c>
    </row>
    <row r="10" spans="1:22" hidden="1" x14ac:dyDescent="0.2"/>
    <row r="11" spans="1:22" ht="15.75" hidden="1" x14ac:dyDescent="0.25">
      <c r="A11" s="12" t="s">
        <v>296</v>
      </c>
      <c r="H11" s="33">
        <v>0.29149999999999998</v>
      </c>
    </row>
    <row r="12" spans="1:22" x14ac:dyDescent="0.2">
      <c r="V12" t="s">
        <v>341</v>
      </c>
    </row>
    <row r="13" spans="1:22" ht="75" x14ac:dyDescent="0.2">
      <c r="A13" s="85" t="s">
        <v>0</v>
      </c>
      <c r="B13" s="30" t="s">
        <v>1</v>
      </c>
      <c r="C13" s="31" t="s">
        <v>300</v>
      </c>
      <c r="D13" s="32" t="s">
        <v>2</v>
      </c>
      <c r="E13" s="32" t="s">
        <v>3</v>
      </c>
      <c r="F13" s="32" t="s">
        <v>4</v>
      </c>
      <c r="G13" s="31" t="s">
        <v>299</v>
      </c>
      <c r="H13" s="32" t="s">
        <v>5</v>
      </c>
      <c r="I13" s="31" t="s">
        <v>219</v>
      </c>
      <c r="J13" s="31" t="s">
        <v>222</v>
      </c>
      <c r="K13" s="31" t="s">
        <v>216</v>
      </c>
      <c r="L13" s="31" t="s">
        <v>217</v>
      </c>
      <c r="M13" s="31" t="s">
        <v>218</v>
      </c>
      <c r="N13" s="31" t="s">
        <v>220</v>
      </c>
      <c r="O13" s="31" t="s">
        <v>221</v>
      </c>
      <c r="P13" s="40" t="s">
        <v>360</v>
      </c>
      <c r="Q13" s="31" t="s">
        <v>304</v>
      </c>
      <c r="R13" s="31" t="s">
        <v>336</v>
      </c>
      <c r="S13" s="40" t="s">
        <v>340</v>
      </c>
    </row>
    <row r="14" spans="1:22" ht="15.75" x14ac:dyDescent="0.25">
      <c r="C14" s="23"/>
      <c r="D14" s="23" t="s">
        <v>6</v>
      </c>
      <c r="E14" s="23" t="s">
        <v>7</v>
      </c>
      <c r="F14" s="23" t="s">
        <v>7</v>
      </c>
      <c r="G14" s="23"/>
      <c r="H14" s="24"/>
      <c r="J14" s="3"/>
    </row>
    <row r="15" spans="1:22" ht="18" x14ac:dyDescent="0.25">
      <c r="A15" s="84" t="s">
        <v>297</v>
      </c>
      <c r="C15" s="23"/>
      <c r="D15" s="23"/>
      <c r="E15" s="23"/>
      <c r="F15" s="23"/>
      <c r="G15" s="23"/>
      <c r="H15" s="24"/>
    </row>
    <row r="16" spans="1:22" ht="15.75" x14ac:dyDescent="0.25">
      <c r="A16" s="44">
        <v>1</v>
      </c>
      <c r="B16" s="10" t="s">
        <v>8</v>
      </c>
      <c r="C16" s="1">
        <v>100.63</v>
      </c>
      <c r="D16">
        <v>0</v>
      </c>
      <c r="E16">
        <v>29.38</v>
      </c>
      <c r="F16">
        <v>0</v>
      </c>
      <c r="G16" s="5">
        <v>32.1</v>
      </c>
      <c r="H16" s="24" t="s">
        <v>9</v>
      </c>
      <c r="I16" s="1">
        <f t="shared" ref="I16:I45" si="0">SUM(G16*$I$9)</f>
        <v>22398.1</v>
      </c>
      <c r="J16" s="1">
        <f>SUM(I16*1.2915)</f>
        <v>28927.15</v>
      </c>
      <c r="K16" s="1">
        <f>SUM(J16*5%)</f>
        <v>1446.36</v>
      </c>
      <c r="L16" s="9">
        <f>SUM(K16/12)</f>
        <v>120.53</v>
      </c>
      <c r="M16" s="1">
        <f>SUM(C16*1.2)</f>
        <v>120.76</v>
      </c>
      <c r="N16" s="6">
        <f>SUM(L16-M16)</f>
        <v>-0.23</v>
      </c>
      <c r="O16" s="8">
        <f>SUM(L16)</f>
        <v>120.53</v>
      </c>
      <c r="P16" s="49">
        <v>115</v>
      </c>
      <c r="Q16" s="6">
        <f>SUM(P16/C16*100)-100</f>
        <v>14.28</v>
      </c>
      <c r="R16" s="6">
        <f>SUM(Tabuľka5[[#This Row],[Stĺpec16]]-Tabuľka5[[#This Row],[Stĺpec3]])</f>
        <v>14.37</v>
      </c>
      <c r="S16" s="7"/>
    </row>
    <row r="17" spans="1:18" ht="15.75" x14ac:dyDescent="0.25">
      <c r="A17" s="44">
        <v>2</v>
      </c>
      <c r="B17" t="s">
        <v>10</v>
      </c>
      <c r="C17" s="1">
        <v>163.5</v>
      </c>
      <c r="D17">
        <v>228.71</v>
      </c>
      <c r="E17">
        <v>50.16</v>
      </c>
      <c r="F17">
        <v>9.48</v>
      </c>
      <c r="G17" s="5">
        <v>65.010000000000005</v>
      </c>
      <c r="H17" s="24" t="s">
        <v>11</v>
      </c>
      <c r="I17" s="1">
        <f t="shared" si="0"/>
        <v>45361.38</v>
      </c>
      <c r="J17" s="1">
        <f t="shared" ref="J17:J45" si="1">SUM(I17*1.2915)</f>
        <v>58584.22</v>
      </c>
      <c r="K17" s="1">
        <f t="shared" ref="K17:K45" si="2">SUM(J17*5%)</f>
        <v>2929.21</v>
      </c>
      <c r="L17" s="9">
        <f t="shared" ref="L17:L45" si="3">SUM(K17/12)</f>
        <v>244.1</v>
      </c>
      <c r="M17" s="1">
        <f t="shared" ref="M17:M45" si="4">SUM(C17*1.2)</f>
        <v>196.2</v>
      </c>
      <c r="N17" s="6">
        <f t="shared" ref="N17:N45" si="5">SUM(L17-M17)</f>
        <v>47.9</v>
      </c>
      <c r="O17" s="7">
        <f>SUM(M17)</f>
        <v>196.2</v>
      </c>
      <c r="P17" s="49">
        <v>190</v>
      </c>
      <c r="Q17" s="6">
        <f>SUM(P17/C17*100)-100</f>
        <v>16.21</v>
      </c>
      <c r="R17" s="6">
        <f>SUM(Tabuľka5[[#This Row],[Stĺpec16]]-Tabuľka5[[#This Row],[Stĺpec3]])</f>
        <v>26.5</v>
      </c>
    </row>
    <row r="18" spans="1:18" ht="15.75" x14ac:dyDescent="0.25">
      <c r="A18" s="44">
        <v>3</v>
      </c>
      <c r="B18" t="s">
        <v>12</v>
      </c>
      <c r="C18" s="1">
        <v>98.17</v>
      </c>
      <c r="D18">
        <v>118.23</v>
      </c>
      <c r="E18">
        <v>29.37</v>
      </c>
      <c r="F18">
        <v>0</v>
      </c>
      <c r="G18" s="5">
        <v>32.090000000000003</v>
      </c>
      <c r="H18" s="24" t="s">
        <v>9</v>
      </c>
      <c r="I18" s="1">
        <f t="shared" si="0"/>
        <v>22391.119999999999</v>
      </c>
      <c r="J18" s="1">
        <f t="shared" si="1"/>
        <v>28918.13</v>
      </c>
      <c r="K18" s="1">
        <f t="shared" si="2"/>
        <v>1445.91</v>
      </c>
      <c r="L18" s="9">
        <f t="shared" si="3"/>
        <v>120.49</v>
      </c>
      <c r="M18" s="1">
        <f>SUM(C18*1.2)</f>
        <v>117.8</v>
      </c>
      <c r="N18" s="6">
        <f t="shared" si="5"/>
        <v>2.69</v>
      </c>
      <c r="O18" s="13">
        <f>SUM(M18)</f>
        <v>117.8</v>
      </c>
      <c r="P18" s="49">
        <v>115</v>
      </c>
      <c r="Q18" s="6">
        <f t="shared" ref="Q18:Q72" si="6">SUM(P18/C18*100)-100</f>
        <v>17.14</v>
      </c>
      <c r="R18" s="6">
        <f>SUM(Tabuľka5[[#This Row],[Stĺpec16]]-Tabuľka5[[#This Row],[Stĺpec3]])</f>
        <v>16.829999999999998</v>
      </c>
    </row>
    <row r="19" spans="1:18" ht="15.75" x14ac:dyDescent="0.25">
      <c r="A19" s="44">
        <v>4</v>
      </c>
      <c r="B19" s="10" t="s">
        <v>8</v>
      </c>
      <c r="C19" s="1">
        <v>100.63</v>
      </c>
      <c r="D19">
        <v>0</v>
      </c>
      <c r="E19">
        <v>29.38</v>
      </c>
      <c r="F19">
        <v>0</v>
      </c>
      <c r="G19" s="5">
        <v>32.1</v>
      </c>
      <c r="H19" s="24" t="s">
        <v>9</v>
      </c>
      <c r="I19" s="1">
        <f t="shared" si="0"/>
        <v>22398.1</v>
      </c>
      <c r="J19" s="1">
        <f t="shared" si="1"/>
        <v>28927.15</v>
      </c>
      <c r="K19" s="1">
        <f t="shared" si="2"/>
        <v>1446.36</v>
      </c>
      <c r="L19" s="9">
        <f t="shared" si="3"/>
        <v>120.53</v>
      </c>
      <c r="M19" s="1">
        <f t="shared" si="4"/>
        <v>120.76</v>
      </c>
      <c r="N19" s="6">
        <f t="shared" si="5"/>
        <v>-0.23</v>
      </c>
      <c r="O19" s="8">
        <f>SUM(L19)</f>
        <v>120.53</v>
      </c>
      <c r="P19" s="49">
        <v>115</v>
      </c>
      <c r="Q19" s="6">
        <f t="shared" si="6"/>
        <v>14.28</v>
      </c>
      <c r="R19" s="6">
        <f>SUM(Tabuľka5[[#This Row],[Stĺpec16]]-Tabuľka5[[#This Row],[Stĺpec3]])</f>
        <v>14.37</v>
      </c>
    </row>
    <row r="20" spans="1:18" ht="15.75" x14ac:dyDescent="0.25">
      <c r="A20" s="44">
        <v>5</v>
      </c>
      <c r="B20" t="s">
        <v>13</v>
      </c>
      <c r="C20" s="1">
        <v>163.5</v>
      </c>
      <c r="D20">
        <v>220.56</v>
      </c>
      <c r="E20">
        <v>50.17</v>
      </c>
      <c r="F20">
        <v>9.49</v>
      </c>
      <c r="G20" s="5">
        <v>65.19</v>
      </c>
      <c r="H20" s="24" t="s">
        <v>11</v>
      </c>
      <c r="I20" s="1">
        <f t="shared" si="0"/>
        <v>45486.97</v>
      </c>
      <c r="J20" s="1">
        <f t="shared" si="1"/>
        <v>58746.42</v>
      </c>
      <c r="K20" s="1">
        <f t="shared" si="2"/>
        <v>2937.32</v>
      </c>
      <c r="L20" s="9">
        <f t="shared" si="3"/>
        <v>244.78</v>
      </c>
      <c r="M20" s="1">
        <f t="shared" si="4"/>
        <v>196.2</v>
      </c>
      <c r="N20" s="6">
        <f t="shared" si="5"/>
        <v>48.58</v>
      </c>
      <c r="O20" s="7">
        <f t="shared" ref="O20" si="7">SUM(M20)</f>
        <v>196.2</v>
      </c>
      <c r="P20" s="49">
        <v>190</v>
      </c>
      <c r="Q20" s="6">
        <f t="shared" si="6"/>
        <v>16.21</v>
      </c>
      <c r="R20" s="6">
        <f>SUM(Tabuľka5[[#This Row],[Stĺpec16]]-Tabuľka5[[#This Row],[Stĺpec3]])</f>
        <v>26.5</v>
      </c>
    </row>
    <row r="21" spans="1:18" ht="15.75" x14ac:dyDescent="0.25">
      <c r="A21" s="44">
        <v>6</v>
      </c>
      <c r="B21" t="s">
        <v>14</v>
      </c>
      <c r="C21" s="1">
        <v>100.63</v>
      </c>
      <c r="D21">
        <v>114.69</v>
      </c>
      <c r="E21">
        <v>29.38</v>
      </c>
      <c r="F21">
        <v>0</v>
      </c>
      <c r="G21" s="5">
        <v>32.1</v>
      </c>
      <c r="H21" s="24" t="s">
        <v>9</v>
      </c>
      <c r="I21" s="1">
        <f t="shared" si="0"/>
        <v>22398.1</v>
      </c>
      <c r="J21" s="1">
        <f t="shared" si="1"/>
        <v>28927.15</v>
      </c>
      <c r="K21" s="1">
        <f t="shared" si="2"/>
        <v>1446.36</v>
      </c>
      <c r="L21" s="9">
        <f t="shared" si="3"/>
        <v>120.53</v>
      </c>
      <c r="M21" s="1">
        <f t="shared" si="4"/>
        <v>120.76</v>
      </c>
      <c r="N21" s="6">
        <f t="shared" si="5"/>
        <v>-0.23</v>
      </c>
      <c r="O21" s="8">
        <f>SUM(M21:N21)</f>
        <v>120.53</v>
      </c>
      <c r="P21" s="49">
        <v>115</v>
      </c>
      <c r="Q21" s="6">
        <f t="shared" si="6"/>
        <v>14.28</v>
      </c>
      <c r="R21" s="6">
        <f>SUM(Tabuľka5[[#This Row],[Stĺpec16]]-Tabuľka5[[#This Row],[Stĺpec3]])</f>
        <v>14.37</v>
      </c>
    </row>
    <row r="22" spans="1:18" ht="15.75" x14ac:dyDescent="0.25">
      <c r="A22" s="44">
        <v>7</v>
      </c>
      <c r="B22" t="s">
        <v>15</v>
      </c>
      <c r="C22" s="1">
        <v>100.63</v>
      </c>
      <c r="D22">
        <v>118.95</v>
      </c>
      <c r="E22">
        <v>29.38</v>
      </c>
      <c r="F22">
        <v>0</v>
      </c>
      <c r="G22" s="5">
        <v>32.1</v>
      </c>
      <c r="H22" s="24" t="s">
        <v>9</v>
      </c>
      <c r="I22" s="1">
        <f t="shared" si="0"/>
        <v>22398.1</v>
      </c>
      <c r="J22" s="1">
        <f t="shared" si="1"/>
        <v>28927.15</v>
      </c>
      <c r="K22" s="1">
        <f t="shared" si="2"/>
        <v>1446.36</v>
      </c>
      <c r="L22" s="9">
        <f t="shared" si="3"/>
        <v>120.53</v>
      </c>
      <c r="M22" s="1">
        <f t="shared" si="4"/>
        <v>120.76</v>
      </c>
      <c r="N22" s="6">
        <f t="shared" si="5"/>
        <v>-0.23</v>
      </c>
      <c r="O22" s="8">
        <f>SUM(M22:N22)</f>
        <v>120.53</v>
      </c>
      <c r="P22" s="49">
        <v>115</v>
      </c>
      <c r="Q22" s="6">
        <f t="shared" si="6"/>
        <v>14.28</v>
      </c>
      <c r="R22" s="6">
        <f>SUM(Tabuľka5[[#This Row],[Stĺpec16]]-Tabuľka5[[#This Row],[Stĺpec3]])</f>
        <v>14.37</v>
      </c>
    </row>
    <row r="23" spans="1:18" ht="15.75" x14ac:dyDescent="0.25">
      <c r="A23" s="44">
        <v>8</v>
      </c>
      <c r="B23" s="10" t="s">
        <v>8</v>
      </c>
      <c r="C23" s="1">
        <v>204.34</v>
      </c>
      <c r="D23">
        <v>0</v>
      </c>
      <c r="E23">
        <v>59.6</v>
      </c>
      <c r="F23">
        <v>0</v>
      </c>
      <c r="G23" s="5">
        <v>66.900000000000006</v>
      </c>
      <c r="H23" s="24" t="s">
        <v>11</v>
      </c>
      <c r="I23" s="1">
        <f t="shared" si="0"/>
        <v>46680.14</v>
      </c>
      <c r="J23" s="1">
        <f t="shared" si="1"/>
        <v>60287.4</v>
      </c>
      <c r="K23" s="1">
        <f t="shared" si="2"/>
        <v>3014.37</v>
      </c>
      <c r="L23" s="9">
        <f t="shared" si="3"/>
        <v>251.2</v>
      </c>
      <c r="M23" s="1">
        <f t="shared" si="4"/>
        <v>245.21</v>
      </c>
      <c r="N23" s="6">
        <f t="shared" si="5"/>
        <v>5.99</v>
      </c>
      <c r="O23" s="13">
        <f>SUM(M23)</f>
        <v>245.21</v>
      </c>
      <c r="P23" s="49">
        <v>210</v>
      </c>
      <c r="Q23" s="6">
        <f t="shared" si="6"/>
        <v>2.77</v>
      </c>
      <c r="R23" s="6">
        <f>SUM(Tabuľka5[[#This Row],[Stĺpec16]]-Tabuľka5[[#This Row],[Stĺpec3]])</f>
        <v>5.66</v>
      </c>
    </row>
    <row r="24" spans="1:18" ht="15.75" x14ac:dyDescent="0.25">
      <c r="A24" s="44">
        <v>9</v>
      </c>
      <c r="B24" t="s">
        <v>16</v>
      </c>
      <c r="C24" s="1">
        <v>163.5</v>
      </c>
      <c r="D24">
        <v>215.56</v>
      </c>
      <c r="E24">
        <v>59.6</v>
      </c>
      <c r="F24">
        <v>0</v>
      </c>
      <c r="G24" s="5">
        <v>64.91</v>
      </c>
      <c r="H24" s="24" t="s">
        <v>11</v>
      </c>
      <c r="I24" s="1">
        <f t="shared" si="0"/>
        <v>45291.6</v>
      </c>
      <c r="J24" s="1">
        <f t="shared" si="1"/>
        <v>58494.1</v>
      </c>
      <c r="K24" s="1">
        <f t="shared" si="2"/>
        <v>2924.71</v>
      </c>
      <c r="L24" s="9">
        <f t="shared" si="3"/>
        <v>243.73</v>
      </c>
      <c r="M24" s="1">
        <f t="shared" si="4"/>
        <v>196.2</v>
      </c>
      <c r="N24" s="6">
        <f t="shared" si="5"/>
        <v>47.53</v>
      </c>
      <c r="O24" s="7">
        <f t="shared" ref="O24" si="8">SUM(M24)</f>
        <v>196.2</v>
      </c>
      <c r="P24" s="49">
        <v>190</v>
      </c>
      <c r="Q24" s="6">
        <f t="shared" si="6"/>
        <v>16.21</v>
      </c>
      <c r="R24" s="6">
        <f>SUM(Tabuľka5[[#This Row],[Stĺpec16]]-Tabuľka5[[#This Row],[Stĺpec3]])</f>
        <v>26.5</v>
      </c>
    </row>
    <row r="25" spans="1:18" ht="15.75" x14ac:dyDescent="0.25">
      <c r="A25" s="44">
        <v>10</v>
      </c>
      <c r="B25" t="s">
        <v>17</v>
      </c>
      <c r="C25" s="1">
        <v>100.63</v>
      </c>
      <c r="D25">
        <v>117.68</v>
      </c>
      <c r="E25">
        <v>29.38</v>
      </c>
      <c r="F25">
        <v>0</v>
      </c>
      <c r="G25" s="5">
        <v>32.1</v>
      </c>
      <c r="H25" s="24" t="s">
        <v>9</v>
      </c>
      <c r="I25" s="1">
        <f t="shared" si="0"/>
        <v>22398.1</v>
      </c>
      <c r="J25" s="1">
        <f t="shared" si="1"/>
        <v>28927.15</v>
      </c>
      <c r="K25" s="1">
        <f t="shared" si="2"/>
        <v>1446.36</v>
      </c>
      <c r="L25" s="9">
        <f t="shared" si="3"/>
        <v>120.53</v>
      </c>
      <c r="M25" s="1">
        <f t="shared" si="4"/>
        <v>120.76</v>
      </c>
      <c r="N25" s="6">
        <f t="shared" si="5"/>
        <v>-0.23</v>
      </c>
      <c r="O25" s="8">
        <f t="shared" ref="O25:O32" si="9">SUM(M25:N25)</f>
        <v>120.53</v>
      </c>
      <c r="P25" s="49">
        <v>115</v>
      </c>
      <c r="Q25" s="6">
        <f t="shared" si="6"/>
        <v>14.28</v>
      </c>
      <c r="R25" s="6">
        <f>SUM(Tabuľka5[[#This Row],[Stĺpec16]]-Tabuľka5[[#This Row],[Stĺpec3]])</f>
        <v>14.37</v>
      </c>
    </row>
    <row r="26" spans="1:18" ht="15.75" x14ac:dyDescent="0.25">
      <c r="A26" s="44">
        <v>101</v>
      </c>
      <c r="B26" t="s">
        <v>18</v>
      </c>
      <c r="C26" s="1">
        <v>100.63</v>
      </c>
      <c r="D26">
        <v>115.75</v>
      </c>
      <c r="E26">
        <v>29.38</v>
      </c>
      <c r="F26">
        <v>0</v>
      </c>
      <c r="G26" s="5">
        <v>32.1</v>
      </c>
      <c r="H26" s="24" t="s">
        <v>9</v>
      </c>
      <c r="I26" s="1">
        <f t="shared" si="0"/>
        <v>22398.1</v>
      </c>
      <c r="J26" s="1">
        <f t="shared" si="1"/>
        <v>28927.15</v>
      </c>
      <c r="K26" s="1">
        <f t="shared" si="2"/>
        <v>1446.36</v>
      </c>
      <c r="L26" s="9">
        <f t="shared" si="3"/>
        <v>120.53</v>
      </c>
      <c r="M26" s="1">
        <f t="shared" si="4"/>
        <v>120.76</v>
      </c>
      <c r="N26" s="6">
        <f t="shared" si="5"/>
        <v>-0.23</v>
      </c>
      <c r="O26" s="8">
        <f t="shared" si="9"/>
        <v>120.53</v>
      </c>
      <c r="P26" s="49">
        <v>115</v>
      </c>
      <c r="Q26" s="6">
        <f t="shared" si="6"/>
        <v>14.28</v>
      </c>
      <c r="R26" s="6">
        <f>SUM(Tabuľka5[[#This Row],[Stĺpec16]]-Tabuľka5[[#This Row],[Stĺpec3]])</f>
        <v>14.37</v>
      </c>
    </row>
    <row r="27" spans="1:18" ht="15.75" x14ac:dyDescent="0.25">
      <c r="A27" s="44">
        <v>102</v>
      </c>
      <c r="B27" t="s">
        <v>19</v>
      </c>
      <c r="C27" s="1">
        <v>204.34</v>
      </c>
      <c r="D27">
        <v>250.36</v>
      </c>
      <c r="E27">
        <v>50.16</v>
      </c>
      <c r="F27">
        <v>9.49</v>
      </c>
      <c r="G27" s="5">
        <v>65.180000000000007</v>
      </c>
      <c r="H27" s="24" t="s">
        <v>11</v>
      </c>
      <c r="I27" s="1">
        <f t="shared" si="0"/>
        <v>45480</v>
      </c>
      <c r="J27" s="1">
        <f t="shared" si="1"/>
        <v>58737.42</v>
      </c>
      <c r="K27" s="1">
        <f t="shared" si="2"/>
        <v>2936.87</v>
      </c>
      <c r="L27" s="9">
        <f t="shared" si="3"/>
        <v>244.74</v>
      </c>
      <c r="M27" s="1">
        <f t="shared" si="4"/>
        <v>245.21</v>
      </c>
      <c r="N27" s="6">
        <f t="shared" si="5"/>
        <v>-0.47</v>
      </c>
      <c r="O27" s="8">
        <f t="shared" si="9"/>
        <v>244.74</v>
      </c>
      <c r="P27" s="49">
        <v>210</v>
      </c>
      <c r="Q27" s="6">
        <f t="shared" si="6"/>
        <v>2.77</v>
      </c>
      <c r="R27" s="6">
        <f>SUM(Tabuľka5[[#This Row],[Stĺpec16]]-Tabuľka5[[#This Row],[Stĺpec3]])</f>
        <v>5.66</v>
      </c>
    </row>
    <row r="28" spans="1:18" ht="15.75" x14ac:dyDescent="0.25">
      <c r="A28" s="44">
        <v>103</v>
      </c>
      <c r="B28" s="10" t="s">
        <v>8</v>
      </c>
      <c r="C28" s="1">
        <v>100.63</v>
      </c>
      <c r="D28">
        <v>0</v>
      </c>
      <c r="E28">
        <v>29.39</v>
      </c>
      <c r="F28">
        <v>0</v>
      </c>
      <c r="G28" s="5">
        <v>32.119999999999997</v>
      </c>
      <c r="H28" s="24" t="s">
        <v>9</v>
      </c>
      <c r="I28" s="1">
        <f t="shared" si="0"/>
        <v>22412.05</v>
      </c>
      <c r="J28" s="1">
        <f t="shared" si="1"/>
        <v>28945.16</v>
      </c>
      <c r="K28" s="1">
        <f t="shared" si="2"/>
        <v>1447.26</v>
      </c>
      <c r="L28" s="9">
        <f t="shared" si="3"/>
        <v>120.61</v>
      </c>
      <c r="M28" s="1">
        <f t="shared" si="4"/>
        <v>120.76</v>
      </c>
      <c r="N28" s="6">
        <f t="shared" si="5"/>
        <v>-0.15</v>
      </c>
      <c r="O28" s="8">
        <f t="shared" si="9"/>
        <v>120.61</v>
      </c>
      <c r="P28" s="49">
        <v>115</v>
      </c>
      <c r="Q28" s="6">
        <f t="shared" si="6"/>
        <v>14.28</v>
      </c>
      <c r="R28" s="6">
        <f>SUM(Tabuľka5[[#This Row],[Stĺpec16]]-Tabuľka5[[#This Row],[Stĺpec3]])</f>
        <v>14.37</v>
      </c>
    </row>
    <row r="29" spans="1:18" ht="15.75" x14ac:dyDescent="0.25">
      <c r="A29" s="44">
        <v>104</v>
      </c>
      <c r="B29" t="s">
        <v>20</v>
      </c>
      <c r="C29" s="1">
        <v>100.63</v>
      </c>
      <c r="D29">
        <v>124.53</v>
      </c>
      <c r="E29">
        <v>29.39</v>
      </c>
      <c r="F29">
        <v>0</v>
      </c>
      <c r="G29" s="5">
        <v>32.11</v>
      </c>
      <c r="H29" s="24" t="s">
        <v>9</v>
      </c>
      <c r="I29" s="1">
        <f t="shared" si="0"/>
        <v>22405.07</v>
      </c>
      <c r="J29" s="1">
        <f t="shared" si="1"/>
        <v>28936.15</v>
      </c>
      <c r="K29" s="1">
        <f t="shared" si="2"/>
        <v>1446.81</v>
      </c>
      <c r="L29" s="9">
        <f t="shared" si="3"/>
        <v>120.57</v>
      </c>
      <c r="M29" s="1">
        <f t="shared" si="4"/>
        <v>120.76</v>
      </c>
      <c r="N29" s="6">
        <f t="shared" si="5"/>
        <v>-0.19</v>
      </c>
      <c r="O29" s="8">
        <f t="shared" si="9"/>
        <v>120.57</v>
      </c>
      <c r="P29" s="49">
        <v>115</v>
      </c>
      <c r="Q29" s="6">
        <f t="shared" si="6"/>
        <v>14.28</v>
      </c>
      <c r="R29" s="6">
        <f>SUM(Tabuľka5[[#This Row],[Stĺpec16]]-Tabuľka5[[#This Row],[Stĺpec3]])</f>
        <v>14.37</v>
      </c>
    </row>
    <row r="30" spans="1:18" ht="15.75" x14ac:dyDescent="0.25">
      <c r="A30" s="44">
        <v>105</v>
      </c>
      <c r="B30" t="s">
        <v>21</v>
      </c>
      <c r="C30" s="1">
        <v>204.34</v>
      </c>
      <c r="D30">
        <v>218.95</v>
      </c>
      <c r="E30">
        <v>50.16</v>
      </c>
      <c r="F30">
        <v>9.48</v>
      </c>
      <c r="G30" s="5">
        <v>65.17</v>
      </c>
      <c r="H30" s="24" t="s">
        <v>11</v>
      </c>
      <c r="I30" s="1">
        <f t="shared" si="0"/>
        <v>45473.02</v>
      </c>
      <c r="J30" s="1">
        <f t="shared" si="1"/>
        <v>58728.41</v>
      </c>
      <c r="K30" s="1">
        <f t="shared" si="2"/>
        <v>2936.42</v>
      </c>
      <c r="L30" s="9">
        <f t="shared" si="3"/>
        <v>244.7</v>
      </c>
      <c r="M30" s="1">
        <f t="shared" si="4"/>
        <v>245.21</v>
      </c>
      <c r="N30" s="6">
        <f t="shared" si="5"/>
        <v>-0.51</v>
      </c>
      <c r="O30" s="8">
        <f t="shared" si="9"/>
        <v>244.7</v>
      </c>
      <c r="P30" s="49">
        <v>210</v>
      </c>
      <c r="Q30" s="6">
        <f t="shared" si="6"/>
        <v>2.77</v>
      </c>
      <c r="R30" s="6">
        <f>SUM(Tabuľka5[[#This Row],[Stĺpec16]]-Tabuľka5[[#This Row],[Stĺpec3]])</f>
        <v>5.66</v>
      </c>
    </row>
    <row r="31" spans="1:18" ht="15.75" x14ac:dyDescent="0.25">
      <c r="A31" s="44">
        <v>106</v>
      </c>
      <c r="B31" s="10" t="s">
        <v>8</v>
      </c>
      <c r="C31" s="1">
        <v>100.63</v>
      </c>
      <c r="D31">
        <v>0</v>
      </c>
      <c r="E31">
        <v>29.38</v>
      </c>
      <c r="F31">
        <v>0</v>
      </c>
      <c r="G31" s="5">
        <v>32.1</v>
      </c>
      <c r="H31" s="24" t="s">
        <v>9</v>
      </c>
      <c r="I31" s="1">
        <f t="shared" si="0"/>
        <v>22398.1</v>
      </c>
      <c r="J31" s="1">
        <f t="shared" si="1"/>
        <v>28927.15</v>
      </c>
      <c r="K31" s="1">
        <f t="shared" si="2"/>
        <v>1446.36</v>
      </c>
      <c r="L31" s="9">
        <f t="shared" si="3"/>
        <v>120.53</v>
      </c>
      <c r="M31" s="1">
        <f t="shared" si="4"/>
        <v>120.76</v>
      </c>
      <c r="N31" s="6">
        <f t="shared" si="5"/>
        <v>-0.23</v>
      </c>
      <c r="O31" s="8">
        <f>SUM(L31)</f>
        <v>120.53</v>
      </c>
      <c r="P31" s="49">
        <v>115</v>
      </c>
      <c r="Q31" s="6">
        <f t="shared" si="6"/>
        <v>14.28</v>
      </c>
      <c r="R31" s="6">
        <f>SUM(Tabuľka5[[#This Row],[Stĺpec16]]-Tabuľka5[[#This Row],[Stĺpec3]])</f>
        <v>14.37</v>
      </c>
    </row>
    <row r="32" spans="1:18" ht="15.75" x14ac:dyDescent="0.25">
      <c r="A32" s="44">
        <v>107</v>
      </c>
      <c r="B32" t="s">
        <v>22</v>
      </c>
      <c r="C32" s="1">
        <v>100.63</v>
      </c>
      <c r="D32">
        <v>114.63</v>
      </c>
      <c r="E32">
        <v>29.39</v>
      </c>
      <c r="F32">
        <v>0</v>
      </c>
      <c r="G32" s="5">
        <v>32.11</v>
      </c>
      <c r="H32" s="24" t="s">
        <v>9</v>
      </c>
      <c r="I32" s="1">
        <f t="shared" si="0"/>
        <v>22405.07</v>
      </c>
      <c r="J32" s="1">
        <f t="shared" si="1"/>
        <v>28936.15</v>
      </c>
      <c r="K32" s="1">
        <f t="shared" si="2"/>
        <v>1446.81</v>
      </c>
      <c r="L32" s="9">
        <f t="shared" si="3"/>
        <v>120.57</v>
      </c>
      <c r="M32" s="1">
        <f t="shared" si="4"/>
        <v>120.76</v>
      </c>
      <c r="N32" s="6">
        <f t="shared" si="5"/>
        <v>-0.19</v>
      </c>
      <c r="O32" s="8">
        <f t="shared" si="9"/>
        <v>120.57</v>
      </c>
      <c r="P32" s="49">
        <v>115</v>
      </c>
      <c r="Q32" s="6">
        <f t="shared" si="6"/>
        <v>14.28</v>
      </c>
      <c r="R32" s="6">
        <f>SUM(Tabuľka5[[#This Row],[Stĺpec16]]-Tabuľka5[[#This Row],[Stĺpec3]])</f>
        <v>14.37</v>
      </c>
    </row>
    <row r="33" spans="1:19" ht="15.75" x14ac:dyDescent="0.25">
      <c r="A33" s="44">
        <v>108</v>
      </c>
      <c r="B33" s="10" t="s">
        <v>8</v>
      </c>
      <c r="C33" s="1">
        <v>204.34</v>
      </c>
      <c r="D33">
        <v>0</v>
      </c>
      <c r="E33">
        <v>50.97</v>
      </c>
      <c r="F33">
        <v>8.6199999999999992</v>
      </c>
      <c r="G33" s="5">
        <v>64.900000000000006</v>
      </c>
      <c r="H33" s="24" t="s">
        <v>11</v>
      </c>
      <c r="I33" s="1">
        <f t="shared" si="0"/>
        <v>45284.62</v>
      </c>
      <c r="J33" s="1">
        <f t="shared" si="1"/>
        <v>58485.09</v>
      </c>
      <c r="K33" s="1">
        <f t="shared" si="2"/>
        <v>2924.25</v>
      </c>
      <c r="L33" s="9">
        <f t="shared" si="3"/>
        <v>243.69</v>
      </c>
      <c r="M33" s="1">
        <f t="shared" si="4"/>
        <v>245.21</v>
      </c>
      <c r="N33" s="6">
        <f t="shared" si="5"/>
        <v>-1.52</v>
      </c>
      <c r="O33" s="8">
        <f>SUM(M33:N33)</f>
        <v>243.69</v>
      </c>
      <c r="P33" s="49">
        <v>210</v>
      </c>
      <c r="Q33" s="6">
        <f t="shared" si="6"/>
        <v>2.77</v>
      </c>
      <c r="R33" s="6">
        <f>SUM(Tabuľka5[[#This Row],[Stĺpec16]]-Tabuľka5[[#This Row],[Stĺpec3]])</f>
        <v>5.66</v>
      </c>
    </row>
    <row r="34" spans="1:19" ht="15.75" x14ac:dyDescent="0.25">
      <c r="A34" s="44">
        <v>109</v>
      </c>
      <c r="B34" t="s">
        <v>23</v>
      </c>
      <c r="C34" s="1">
        <v>204.34</v>
      </c>
      <c r="D34">
        <v>228.57</v>
      </c>
      <c r="E34">
        <v>50.99</v>
      </c>
      <c r="F34">
        <v>8.6199999999999992</v>
      </c>
      <c r="G34" s="5">
        <v>64.92</v>
      </c>
      <c r="H34" s="24" t="s">
        <v>11</v>
      </c>
      <c r="I34" s="1">
        <f t="shared" si="0"/>
        <v>45298.58</v>
      </c>
      <c r="J34" s="1">
        <f t="shared" si="1"/>
        <v>58503.12</v>
      </c>
      <c r="K34" s="1">
        <f t="shared" si="2"/>
        <v>2925.16</v>
      </c>
      <c r="L34" s="9">
        <f t="shared" si="3"/>
        <v>243.76</v>
      </c>
      <c r="M34" s="1">
        <f t="shared" si="4"/>
        <v>245.21</v>
      </c>
      <c r="N34" s="6">
        <f t="shared" si="5"/>
        <v>-1.45</v>
      </c>
      <c r="O34" s="8">
        <f>SUM(M34:N34)</f>
        <v>243.76</v>
      </c>
      <c r="P34" s="49">
        <v>210</v>
      </c>
      <c r="Q34" s="6">
        <f t="shared" si="6"/>
        <v>2.77</v>
      </c>
      <c r="R34" s="6">
        <f>SUM(Tabuľka5[[#This Row],[Stĺpec16]]-Tabuľka5[[#This Row],[Stĺpec3]])</f>
        <v>5.66</v>
      </c>
    </row>
    <row r="35" spans="1:19" ht="15.75" x14ac:dyDescent="0.25">
      <c r="A35" s="44">
        <v>110</v>
      </c>
      <c r="B35" t="s">
        <v>24</v>
      </c>
      <c r="C35" s="1">
        <v>100.63</v>
      </c>
      <c r="D35">
        <v>136.26</v>
      </c>
      <c r="E35">
        <v>29.38</v>
      </c>
      <c r="F35">
        <v>0</v>
      </c>
      <c r="G35" s="5">
        <v>32.1</v>
      </c>
      <c r="H35" s="24" t="s">
        <v>9</v>
      </c>
      <c r="I35" s="1">
        <f t="shared" si="0"/>
        <v>22398.1</v>
      </c>
      <c r="J35" s="1">
        <f t="shared" si="1"/>
        <v>28927.15</v>
      </c>
      <c r="K35" s="1">
        <f t="shared" si="2"/>
        <v>1446.36</v>
      </c>
      <c r="L35" s="9">
        <f t="shared" si="3"/>
        <v>120.53</v>
      </c>
      <c r="M35" s="1">
        <f t="shared" si="4"/>
        <v>120.76</v>
      </c>
      <c r="N35" s="6">
        <f t="shared" si="5"/>
        <v>-0.23</v>
      </c>
      <c r="O35" s="8">
        <f>SUM(M35:N35)</f>
        <v>120.53</v>
      </c>
      <c r="P35" s="49">
        <v>115</v>
      </c>
      <c r="Q35" s="6">
        <f t="shared" si="6"/>
        <v>14.28</v>
      </c>
      <c r="R35" s="6">
        <f>SUM(Tabuľka5[[#This Row],[Stĺpec16]]-Tabuľka5[[#This Row],[Stĺpec3]])</f>
        <v>14.37</v>
      </c>
    </row>
    <row r="36" spans="1:19" ht="15.75" x14ac:dyDescent="0.25">
      <c r="A36" s="44">
        <v>201</v>
      </c>
      <c r="B36" t="s">
        <v>25</v>
      </c>
      <c r="C36" s="1">
        <v>100.63</v>
      </c>
      <c r="D36">
        <v>119.47</v>
      </c>
      <c r="E36">
        <v>29.39</v>
      </c>
      <c r="F36">
        <v>0</v>
      </c>
      <c r="G36" s="5">
        <v>32.11</v>
      </c>
      <c r="H36" s="24" t="s">
        <v>9</v>
      </c>
      <c r="I36" s="1">
        <f t="shared" si="0"/>
        <v>22405.07</v>
      </c>
      <c r="J36" s="1">
        <f t="shared" si="1"/>
        <v>28936.15</v>
      </c>
      <c r="K36" s="1">
        <f t="shared" si="2"/>
        <v>1446.81</v>
      </c>
      <c r="L36" s="9">
        <f t="shared" si="3"/>
        <v>120.57</v>
      </c>
      <c r="M36" s="1">
        <f t="shared" si="4"/>
        <v>120.76</v>
      </c>
      <c r="N36" s="6">
        <f t="shared" si="5"/>
        <v>-0.19</v>
      </c>
      <c r="O36" s="8">
        <f>SUM(M36:N36)</f>
        <v>120.57</v>
      </c>
      <c r="P36" s="49">
        <v>115</v>
      </c>
      <c r="Q36" s="6">
        <f t="shared" si="6"/>
        <v>14.28</v>
      </c>
      <c r="R36" s="6">
        <f>SUM(Tabuľka5[[#This Row],[Stĺpec16]]-Tabuľka5[[#This Row],[Stĺpec3]])</f>
        <v>14.37</v>
      </c>
    </row>
    <row r="37" spans="1:19" ht="15.75" x14ac:dyDescent="0.25">
      <c r="A37" s="44">
        <v>202</v>
      </c>
      <c r="B37" t="s">
        <v>26</v>
      </c>
      <c r="C37" s="1">
        <v>163.5</v>
      </c>
      <c r="D37">
        <v>208.95</v>
      </c>
      <c r="E37">
        <v>50.16</v>
      </c>
      <c r="F37">
        <v>9.48</v>
      </c>
      <c r="G37" s="5">
        <v>65.17</v>
      </c>
      <c r="H37" s="24" t="s">
        <v>11</v>
      </c>
      <c r="I37" s="1">
        <f t="shared" si="0"/>
        <v>45473.02</v>
      </c>
      <c r="J37" s="1">
        <f t="shared" si="1"/>
        <v>58728.41</v>
      </c>
      <c r="K37" s="1">
        <f t="shared" si="2"/>
        <v>2936.42</v>
      </c>
      <c r="L37" s="9">
        <f t="shared" si="3"/>
        <v>244.7</v>
      </c>
      <c r="M37" s="1">
        <f t="shared" si="4"/>
        <v>196.2</v>
      </c>
      <c r="N37" s="6">
        <f t="shared" si="5"/>
        <v>48.5</v>
      </c>
      <c r="O37" s="7">
        <f>SUM(M37)</f>
        <v>196.2</v>
      </c>
      <c r="P37" s="49">
        <v>190</v>
      </c>
      <c r="Q37" s="6">
        <f t="shared" si="6"/>
        <v>16.21</v>
      </c>
      <c r="R37" s="6">
        <f>SUM(Tabuľka5[[#This Row],[Stĺpec16]]-Tabuľka5[[#This Row],[Stĺpec3]])</f>
        <v>26.5</v>
      </c>
    </row>
    <row r="38" spans="1:19" ht="15.75" x14ac:dyDescent="0.25">
      <c r="A38" s="44">
        <v>203</v>
      </c>
      <c r="B38" t="s">
        <v>27</v>
      </c>
      <c r="C38" s="1">
        <v>100.63</v>
      </c>
      <c r="D38">
        <v>138.07</v>
      </c>
      <c r="E38">
        <v>29.39</v>
      </c>
      <c r="F38">
        <v>0</v>
      </c>
      <c r="G38" s="5">
        <v>32.11</v>
      </c>
      <c r="H38" s="24" t="s">
        <v>9</v>
      </c>
      <c r="I38" s="1">
        <f t="shared" si="0"/>
        <v>22405.07</v>
      </c>
      <c r="J38" s="1">
        <f t="shared" si="1"/>
        <v>28936.15</v>
      </c>
      <c r="K38" s="1">
        <f t="shared" si="2"/>
        <v>1446.81</v>
      </c>
      <c r="L38" s="9">
        <f t="shared" si="3"/>
        <v>120.57</v>
      </c>
      <c r="M38" s="1">
        <f t="shared" si="4"/>
        <v>120.76</v>
      </c>
      <c r="N38" s="6">
        <f t="shared" si="5"/>
        <v>-0.19</v>
      </c>
      <c r="O38" s="8">
        <f>SUM(M38:N38)</f>
        <v>120.57</v>
      </c>
      <c r="P38" s="49">
        <v>115</v>
      </c>
      <c r="Q38" s="6">
        <f t="shared" si="6"/>
        <v>14.28</v>
      </c>
      <c r="R38" s="6">
        <f>SUM(Tabuľka5[[#This Row],[Stĺpec16]]-Tabuľka5[[#This Row],[Stĺpec3]])</f>
        <v>14.37</v>
      </c>
    </row>
    <row r="39" spans="1:19" ht="15.75" x14ac:dyDescent="0.25">
      <c r="A39" s="44">
        <v>204</v>
      </c>
      <c r="B39" t="s">
        <v>28</v>
      </c>
      <c r="C39" s="1">
        <v>100.63</v>
      </c>
      <c r="D39">
        <v>128.05000000000001</v>
      </c>
      <c r="E39">
        <v>29.38</v>
      </c>
      <c r="F39">
        <v>0</v>
      </c>
      <c r="G39" s="5">
        <v>32.11</v>
      </c>
      <c r="H39" s="24" t="s">
        <v>9</v>
      </c>
      <c r="I39" s="1">
        <f t="shared" si="0"/>
        <v>22405.07</v>
      </c>
      <c r="J39" s="1">
        <f t="shared" si="1"/>
        <v>28936.15</v>
      </c>
      <c r="K39" s="1">
        <f t="shared" si="2"/>
        <v>1446.81</v>
      </c>
      <c r="L39" s="9">
        <f t="shared" si="3"/>
        <v>120.57</v>
      </c>
      <c r="M39" s="1">
        <f t="shared" si="4"/>
        <v>120.76</v>
      </c>
      <c r="N39" s="6">
        <f t="shared" si="5"/>
        <v>-0.19</v>
      </c>
      <c r="O39" s="8">
        <f>SUM(M39:N39)</f>
        <v>120.57</v>
      </c>
      <c r="P39" s="49">
        <v>115</v>
      </c>
      <c r="Q39" s="6">
        <f t="shared" si="6"/>
        <v>14.28</v>
      </c>
      <c r="R39" s="6">
        <f>SUM(Tabuľka5[[#This Row],[Stĺpec16]]-Tabuľka5[[#This Row],[Stĺpec3]])</f>
        <v>14.37</v>
      </c>
    </row>
    <row r="40" spans="1:19" ht="15.75" x14ac:dyDescent="0.25">
      <c r="A40" s="44">
        <v>205</v>
      </c>
      <c r="B40" t="s">
        <v>29</v>
      </c>
      <c r="C40" s="1">
        <v>163.5</v>
      </c>
      <c r="D40">
        <v>191.94</v>
      </c>
      <c r="E40">
        <v>50.16</v>
      </c>
      <c r="F40">
        <v>9.48</v>
      </c>
      <c r="G40" s="5">
        <v>65.180000000000007</v>
      </c>
      <c r="H40" s="24" t="s">
        <v>11</v>
      </c>
      <c r="I40" s="1">
        <f t="shared" si="0"/>
        <v>45480</v>
      </c>
      <c r="J40" s="1">
        <f t="shared" si="1"/>
        <v>58737.42</v>
      </c>
      <c r="K40" s="1">
        <f t="shared" si="2"/>
        <v>2936.87</v>
      </c>
      <c r="L40" s="9">
        <f t="shared" si="3"/>
        <v>244.74</v>
      </c>
      <c r="M40" s="1">
        <f t="shared" si="4"/>
        <v>196.2</v>
      </c>
      <c r="N40" s="6">
        <f t="shared" si="5"/>
        <v>48.54</v>
      </c>
      <c r="O40" s="7">
        <f>SUM(M40)</f>
        <v>196.2</v>
      </c>
      <c r="P40" s="49">
        <v>190</v>
      </c>
      <c r="Q40" s="6">
        <f t="shared" si="6"/>
        <v>16.21</v>
      </c>
      <c r="R40" s="6">
        <f>SUM(Tabuľka5[[#This Row],[Stĺpec16]]-Tabuľka5[[#This Row],[Stĺpec3]])</f>
        <v>26.5</v>
      </c>
    </row>
    <row r="41" spans="1:19" ht="15.75" x14ac:dyDescent="0.25">
      <c r="A41" s="44">
        <v>206</v>
      </c>
      <c r="B41" t="s">
        <v>30</v>
      </c>
      <c r="C41" s="1">
        <v>100.63</v>
      </c>
      <c r="D41">
        <v>117.85</v>
      </c>
      <c r="E41">
        <v>23.03</v>
      </c>
      <c r="F41">
        <v>6.35</v>
      </c>
      <c r="G41" s="5">
        <v>32.11</v>
      </c>
      <c r="H41" s="24" t="s">
        <v>9</v>
      </c>
      <c r="I41" s="1">
        <f t="shared" si="0"/>
        <v>22405.07</v>
      </c>
      <c r="J41" s="1">
        <f t="shared" si="1"/>
        <v>28936.15</v>
      </c>
      <c r="K41" s="1">
        <f t="shared" si="2"/>
        <v>1446.81</v>
      </c>
      <c r="L41" s="9">
        <f t="shared" si="3"/>
        <v>120.57</v>
      </c>
      <c r="M41" s="1">
        <f t="shared" si="4"/>
        <v>120.76</v>
      </c>
      <c r="N41" s="6">
        <f t="shared" si="5"/>
        <v>-0.19</v>
      </c>
      <c r="O41" s="8">
        <f>SUM(M41:N41)</f>
        <v>120.57</v>
      </c>
      <c r="P41" s="49">
        <v>115</v>
      </c>
      <c r="Q41" s="6">
        <f t="shared" si="6"/>
        <v>14.28</v>
      </c>
      <c r="R41" s="6">
        <f>SUM(Tabuľka5[[#This Row],[Stĺpec16]]-Tabuľka5[[#This Row],[Stĺpec3]])</f>
        <v>14.37</v>
      </c>
    </row>
    <row r="42" spans="1:19" ht="15.75" x14ac:dyDescent="0.25">
      <c r="A42" s="44">
        <v>207</v>
      </c>
      <c r="B42" s="10" t="s">
        <v>8</v>
      </c>
      <c r="C42" s="1">
        <v>100.63</v>
      </c>
      <c r="D42">
        <v>0</v>
      </c>
      <c r="E42">
        <v>29.38</v>
      </c>
      <c r="F42">
        <v>0</v>
      </c>
      <c r="G42" s="5">
        <v>32.1</v>
      </c>
      <c r="H42" s="24" t="s">
        <v>9</v>
      </c>
      <c r="I42" s="1">
        <f t="shared" si="0"/>
        <v>22398.1</v>
      </c>
      <c r="J42" s="1">
        <f t="shared" si="1"/>
        <v>28927.15</v>
      </c>
      <c r="K42" s="1">
        <f t="shared" si="2"/>
        <v>1446.36</v>
      </c>
      <c r="L42" s="9">
        <f t="shared" si="3"/>
        <v>120.53</v>
      </c>
      <c r="M42" s="1">
        <f t="shared" si="4"/>
        <v>120.76</v>
      </c>
      <c r="N42" s="6">
        <f t="shared" si="5"/>
        <v>-0.23</v>
      </c>
      <c r="O42" s="8">
        <f>SUM(L42)</f>
        <v>120.53</v>
      </c>
      <c r="P42" s="49">
        <v>115</v>
      </c>
      <c r="Q42" s="6">
        <f t="shared" si="6"/>
        <v>14.28</v>
      </c>
      <c r="R42" s="6">
        <f>SUM(Tabuľka5[[#This Row],[Stĺpec16]]-Tabuľka5[[#This Row],[Stĺpec3]])</f>
        <v>14.37</v>
      </c>
    </row>
    <row r="43" spans="1:19" ht="15.75" x14ac:dyDescent="0.25">
      <c r="A43" s="44">
        <v>208</v>
      </c>
      <c r="B43" t="s">
        <v>31</v>
      </c>
      <c r="C43" s="1">
        <v>163.5</v>
      </c>
      <c r="D43">
        <v>180.31</v>
      </c>
      <c r="E43">
        <v>59.61</v>
      </c>
      <c r="F43">
        <v>0</v>
      </c>
      <c r="G43" s="5">
        <v>64.92</v>
      </c>
      <c r="H43" s="24" t="s">
        <v>11</v>
      </c>
      <c r="I43" s="1">
        <f t="shared" si="0"/>
        <v>45298.58</v>
      </c>
      <c r="J43" s="1">
        <f t="shared" si="1"/>
        <v>58503.12</v>
      </c>
      <c r="K43" s="1">
        <f t="shared" si="2"/>
        <v>2925.16</v>
      </c>
      <c r="L43" s="9">
        <f t="shared" si="3"/>
        <v>243.76</v>
      </c>
      <c r="M43" s="1">
        <f t="shared" si="4"/>
        <v>196.2</v>
      </c>
      <c r="N43" s="6">
        <f t="shared" si="5"/>
        <v>47.56</v>
      </c>
      <c r="O43" s="7">
        <f t="shared" ref="O43:O44" si="10">SUM(M43)</f>
        <v>196.2</v>
      </c>
      <c r="P43" s="49">
        <v>190</v>
      </c>
      <c r="Q43" s="6">
        <f t="shared" si="6"/>
        <v>16.21</v>
      </c>
      <c r="R43" s="6">
        <f>SUM(Tabuľka5[[#This Row],[Stĺpec16]]-Tabuľka5[[#This Row],[Stĺpec3]])</f>
        <v>26.5</v>
      </c>
    </row>
    <row r="44" spans="1:19" ht="15.75" x14ac:dyDescent="0.25">
      <c r="A44" s="44">
        <v>209</v>
      </c>
      <c r="B44" t="s">
        <v>32</v>
      </c>
      <c r="C44" s="1">
        <v>163.5</v>
      </c>
      <c r="D44">
        <v>244.09</v>
      </c>
      <c r="E44">
        <v>59.6</v>
      </c>
      <c r="F44">
        <v>0</v>
      </c>
      <c r="G44" s="5">
        <v>66.900000000000006</v>
      </c>
      <c r="H44" s="24" t="s">
        <v>11</v>
      </c>
      <c r="I44" s="1">
        <f t="shared" si="0"/>
        <v>46680.14</v>
      </c>
      <c r="J44" s="1">
        <f t="shared" si="1"/>
        <v>60287.4</v>
      </c>
      <c r="K44" s="1">
        <f t="shared" si="2"/>
        <v>3014.37</v>
      </c>
      <c r="L44" s="9">
        <f t="shared" si="3"/>
        <v>251.2</v>
      </c>
      <c r="M44" s="1">
        <f t="shared" si="4"/>
        <v>196.2</v>
      </c>
      <c r="N44" s="6">
        <f t="shared" si="5"/>
        <v>55</v>
      </c>
      <c r="O44" s="7">
        <f t="shared" si="10"/>
        <v>196.2</v>
      </c>
      <c r="P44" s="49">
        <v>190</v>
      </c>
      <c r="Q44" s="6">
        <f t="shared" si="6"/>
        <v>16.21</v>
      </c>
      <c r="R44" s="6">
        <f>SUM(Tabuľka5[[#This Row],[Stĺpec16]]-Tabuľka5[[#This Row],[Stĺpec3]])</f>
        <v>26.5</v>
      </c>
    </row>
    <row r="45" spans="1:19" ht="15.75" x14ac:dyDescent="0.25">
      <c r="A45" s="44">
        <v>210</v>
      </c>
      <c r="B45" t="s">
        <v>33</v>
      </c>
      <c r="C45" s="1">
        <v>100.63</v>
      </c>
      <c r="D45">
        <v>147.13</v>
      </c>
      <c r="E45">
        <v>29.38</v>
      </c>
      <c r="F45">
        <v>0</v>
      </c>
      <c r="G45" s="5">
        <v>32.1</v>
      </c>
      <c r="H45" s="24" t="s">
        <v>9</v>
      </c>
      <c r="I45" s="1">
        <f t="shared" si="0"/>
        <v>22398.1</v>
      </c>
      <c r="J45" s="1">
        <f t="shared" si="1"/>
        <v>28927.15</v>
      </c>
      <c r="K45" s="1">
        <f t="shared" si="2"/>
        <v>1446.36</v>
      </c>
      <c r="L45" s="9">
        <f t="shared" si="3"/>
        <v>120.53</v>
      </c>
      <c r="M45" s="1">
        <f t="shared" si="4"/>
        <v>120.76</v>
      </c>
      <c r="N45" s="6">
        <f t="shared" si="5"/>
        <v>-0.23</v>
      </c>
      <c r="O45" s="8">
        <f>SUM(M45:N45)</f>
        <v>120.53</v>
      </c>
      <c r="P45" s="49">
        <v>115</v>
      </c>
      <c r="Q45" s="6">
        <f t="shared" si="6"/>
        <v>14.28</v>
      </c>
      <c r="R45" s="6">
        <f>SUM(Tabuľka5[[#This Row],[Stĺpec16]]-Tabuľka5[[#This Row],[Stĺpec3]])</f>
        <v>14.37</v>
      </c>
    </row>
    <row r="46" spans="1:19" ht="15.75" x14ac:dyDescent="0.25">
      <c r="A46" s="44"/>
      <c r="C46" s="1"/>
      <c r="G46" s="5"/>
      <c r="H46" s="24"/>
      <c r="I46" s="1"/>
      <c r="J46" s="1"/>
      <c r="K46" s="1"/>
      <c r="L46" s="9"/>
      <c r="M46" s="1"/>
      <c r="N46" s="6"/>
      <c r="O46" s="8"/>
      <c r="P46" s="2"/>
      <c r="Q46" s="6"/>
      <c r="R46" s="6"/>
      <c r="S46" s="3"/>
    </row>
    <row r="47" spans="1:19" ht="18" x14ac:dyDescent="0.25">
      <c r="A47" s="86" t="s">
        <v>298</v>
      </c>
      <c r="C47" s="1"/>
      <c r="G47" s="5"/>
      <c r="H47" s="24"/>
      <c r="I47" s="1"/>
      <c r="J47" s="1"/>
      <c r="K47" s="1"/>
      <c r="L47" s="9"/>
      <c r="M47" s="1"/>
      <c r="N47" s="6"/>
      <c r="O47" s="8"/>
      <c r="P47" s="2"/>
      <c r="Q47" s="6"/>
      <c r="R47" s="6"/>
      <c r="S47" s="3"/>
    </row>
    <row r="48" spans="1:19" ht="15.75" x14ac:dyDescent="0.25">
      <c r="A48" s="44">
        <v>1</v>
      </c>
      <c r="B48" t="s">
        <v>34</v>
      </c>
      <c r="C48" s="1">
        <v>204.34</v>
      </c>
      <c r="D48">
        <v>257.10000000000002</v>
      </c>
      <c r="E48">
        <v>51.05</v>
      </c>
      <c r="F48">
        <v>8.6199999999999992</v>
      </c>
      <c r="G48" s="5">
        <v>64.98</v>
      </c>
      <c r="H48" s="24" t="s">
        <v>11</v>
      </c>
      <c r="I48" s="1">
        <f t="shared" ref="I48:I71" si="11">SUM(G48*$I$9)</f>
        <v>45340.44</v>
      </c>
      <c r="J48" s="1">
        <f t="shared" ref="J48:J71" si="12">SUM(I48*1.2915)</f>
        <v>58557.18</v>
      </c>
      <c r="K48" s="1">
        <f t="shared" ref="K48:K71" si="13">SUM(J48*5%)</f>
        <v>2927.86</v>
      </c>
      <c r="L48" s="9">
        <f t="shared" ref="L48:L71" si="14">SUM(K48/12)</f>
        <v>243.99</v>
      </c>
      <c r="M48" s="1">
        <f t="shared" ref="M48:M71" si="15">SUM(C48*1.2)</f>
        <v>245.21</v>
      </c>
      <c r="N48" s="6">
        <f t="shared" ref="N48:N71" si="16">SUM(L48-M48)</f>
        <v>-1.22</v>
      </c>
      <c r="O48" s="8">
        <f>SUM(M48:N48)</f>
        <v>243.99</v>
      </c>
      <c r="P48" s="49">
        <v>210</v>
      </c>
      <c r="Q48" s="6">
        <f t="shared" ref="Q48:Q71" si="17">SUM(P48/C48*100)-100</f>
        <v>2.77</v>
      </c>
      <c r="R48" s="6">
        <f>SUM(Tabuľka6[[#This Row],[Stĺpec16]]-Tabuľka6[[#This Row],[Stĺpec3]])</f>
        <v>5.66</v>
      </c>
    </row>
    <row r="49" spans="1:18" ht="15.75" x14ac:dyDescent="0.25">
      <c r="A49" s="44">
        <v>2</v>
      </c>
      <c r="B49" t="s">
        <v>35</v>
      </c>
      <c r="C49" s="1">
        <v>163.5</v>
      </c>
      <c r="D49">
        <v>255.56</v>
      </c>
      <c r="E49">
        <v>59.64</v>
      </c>
      <c r="F49">
        <v>0</v>
      </c>
      <c r="G49" s="5">
        <v>64.95</v>
      </c>
      <c r="H49" s="24" t="s">
        <v>11</v>
      </c>
      <c r="I49" s="1">
        <f t="shared" si="11"/>
        <v>45319.51</v>
      </c>
      <c r="J49" s="1">
        <f t="shared" si="12"/>
        <v>58530.15</v>
      </c>
      <c r="K49" s="1">
        <f t="shared" si="13"/>
        <v>2926.51</v>
      </c>
      <c r="L49" s="1">
        <f t="shared" si="14"/>
        <v>243.88</v>
      </c>
      <c r="M49" s="1">
        <f t="shared" si="15"/>
        <v>196.2</v>
      </c>
      <c r="N49" s="6">
        <f t="shared" si="16"/>
        <v>47.68</v>
      </c>
      <c r="O49" s="7">
        <f t="shared" ref="O49:O50" si="18">SUM(M49)</f>
        <v>196.2</v>
      </c>
      <c r="P49" s="49">
        <v>190</v>
      </c>
      <c r="Q49" s="6">
        <f t="shared" si="17"/>
        <v>16.21</v>
      </c>
      <c r="R49" s="6">
        <f>SUM(Tabuľka6[[#This Row],[Stĺpec16]]-Tabuľka6[[#This Row],[Stĺpec3]])</f>
        <v>26.5</v>
      </c>
    </row>
    <row r="50" spans="1:18" ht="15.75" x14ac:dyDescent="0.25">
      <c r="A50" s="44">
        <v>3</v>
      </c>
      <c r="B50" t="s">
        <v>36</v>
      </c>
      <c r="C50" s="1">
        <v>163.5</v>
      </c>
      <c r="D50">
        <v>201.56</v>
      </c>
      <c r="E50">
        <v>51.04</v>
      </c>
      <c r="F50">
        <v>8.6199999999999992</v>
      </c>
      <c r="G50" s="5">
        <v>64.97</v>
      </c>
      <c r="H50" s="24" t="s">
        <v>11</v>
      </c>
      <c r="I50" s="1">
        <f t="shared" si="11"/>
        <v>45333.47</v>
      </c>
      <c r="J50" s="1">
        <f t="shared" si="12"/>
        <v>58548.18</v>
      </c>
      <c r="K50" s="1">
        <f t="shared" si="13"/>
        <v>2927.41</v>
      </c>
      <c r="L50" s="1">
        <f t="shared" si="14"/>
        <v>243.95</v>
      </c>
      <c r="M50" s="1">
        <f t="shared" si="15"/>
        <v>196.2</v>
      </c>
      <c r="N50" s="6">
        <f t="shared" si="16"/>
        <v>47.75</v>
      </c>
      <c r="O50" s="7">
        <f t="shared" si="18"/>
        <v>196.2</v>
      </c>
      <c r="P50" s="49">
        <v>190</v>
      </c>
      <c r="Q50" s="6">
        <f t="shared" si="17"/>
        <v>16.21</v>
      </c>
      <c r="R50" s="6">
        <f>SUM(Tabuľka6[[#This Row],[Stĺpec16]]-Tabuľka6[[#This Row],[Stĺpec3]])</f>
        <v>26.5</v>
      </c>
    </row>
    <row r="51" spans="1:18" ht="15.75" x14ac:dyDescent="0.25">
      <c r="A51" s="44">
        <v>4</v>
      </c>
      <c r="B51" s="10" t="s">
        <v>8</v>
      </c>
      <c r="C51" s="1">
        <v>204.34</v>
      </c>
      <c r="D51">
        <v>0</v>
      </c>
      <c r="E51">
        <v>51.04</v>
      </c>
      <c r="F51">
        <v>8.6199999999999992</v>
      </c>
      <c r="G51" s="5">
        <v>64.97</v>
      </c>
      <c r="H51" s="24" t="s">
        <v>11</v>
      </c>
      <c r="I51" s="1">
        <f t="shared" si="11"/>
        <v>45333.47</v>
      </c>
      <c r="J51" s="1">
        <f t="shared" si="12"/>
        <v>58548.18</v>
      </c>
      <c r="K51" s="1">
        <f t="shared" si="13"/>
        <v>2927.41</v>
      </c>
      <c r="L51" s="9">
        <f t="shared" si="14"/>
        <v>243.95</v>
      </c>
      <c r="M51" s="1">
        <f t="shared" si="15"/>
        <v>245.21</v>
      </c>
      <c r="N51" s="6">
        <f t="shared" si="16"/>
        <v>-1.26</v>
      </c>
      <c r="O51" s="8">
        <f>SUM(M51:N51)</f>
        <v>243.95</v>
      </c>
      <c r="P51" s="49">
        <v>210</v>
      </c>
      <c r="Q51" s="6">
        <f t="shared" si="17"/>
        <v>2.77</v>
      </c>
      <c r="R51" s="6">
        <f>SUM(Tabuľka6[[#This Row],[Stĺpec16]]-Tabuľka6[[#This Row],[Stĺpec3]])</f>
        <v>5.66</v>
      </c>
    </row>
    <row r="52" spans="1:18" ht="15.75" x14ac:dyDescent="0.25">
      <c r="A52" s="44">
        <v>5</v>
      </c>
      <c r="B52" t="s">
        <v>37</v>
      </c>
      <c r="C52" s="1">
        <v>163.5</v>
      </c>
      <c r="D52">
        <v>201.56</v>
      </c>
      <c r="E52">
        <v>59.64</v>
      </c>
      <c r="F52">
        <v>0</v>
      </c>
      <c r="G52" s="5">
        <v>64.95</v>
      </c>
      <c r="H52" s="24" t="s">
        <v>11</v>
      </c>
      <c r="I52" s="1">
        <f t="shared" si="11"/>
        <v>45319.51</v>
      </c>
      <c r="J52" s="1">
        <f t="shared" si="12"/>
        <v>58530.15</v>
      </c>
      <c r="K52" s="1">
        <f t="shared" si="13"/>
        <v>2926.51</v>
      </c>
      <c r="L52" s="1">
        <f t="shared" si="14"/>
        <v>243.88</v>
      </c>
      <c r="M52" s="1">
        <f t="shared" si="15"/>
        <v>196.2</v>
      </c>
      <c r="N52" s="6">
        <f t="shared" si="16"/>
        <v>47.68</v>
      </c>
      <c r="O52" s="7">
        <f t="shared" ref="O52:O54" si="19">SUM(M52)</f>
        <v>196.2</v>
      </c>
      <c r="P52" s="49">
        <v>190</v>
      </c>
      <c r="Q52" s="6">
        <f t="shared" si="17"/>
        <v>16.21</v>
      </c>
      <c r="R52" s="6">
        <f>SUM(Tabuľka6[[#This Row],[Stĺpec16]]-Tabuľka6[[#This Row],[Stĺpec3]])</f>
        <v>26.5</v>
      </c>
    </row>
    <row r="53" spans="1:18" ht="15.75" x14ac:dyDescent="0.25">
      <c r="A53" s="44">
        <v>6</v>
      </c>
      <c r="B53" t="s">
        <v>38</v>
      </c>
      <c r="C53" s="1">
        <v>163.5</v>
      </c>
      <c r="D53">
        <v>195.56</v>
      </c>
      <c r="E53">
        <v>59.66</v>
      </c>
      <c r="F53">
        <v>0</v>
      </c>
      <c r="G53" s="5">
        <v>64.97</v>
      </c>
      <c r="H53" s="24" t="s">
        <v>11</v>
      </c>
      <c r="I53" s="1">
        <f t="shared" si="11"/>
        <v>45333.47</v>
      </c>
      <c r="J53" s="1">
        <f t="shared" si="12"/>
        <v>58548.18</v>
      </c>
      <c r="K53" s="1">
        <f t="shared" si="13"/>
        <v>2927.41</v>
      </c>
      <c r="L53" s="1">
        <f t="shared" si="14"/>
        <v>243.95</v>
      </c>
      <c r="M53" s="1">
        <f t="shared" si="15"/>
        <v>196.2</v>
      </c>
      <c r="N53" s="6">
        <f t="shared" si="16"/>
        <v>47.75</v>
      </c>
      <c r="O53" s="7">
        <f t="shared" si="19"/>
        <v>196.2</v>
      </c>
      <c r="P53" s="49">
        <v>190</v>
      </c>
      <c r="Q53" s="6">
        <f t="shared" si="17"/>
        <v>16.21</v>
      </c>
      <c r="R53" s="6">
        <f>SUM(Tabuľka6[[#This Row],[Stĺpec16]]-Tabuľka6[[#This Row],[Stĺpec3]])</f>
        <v>26.5</v>
      </c>
    </row>
    <row r="54" spans="1:18" ht="15.75" x14ac:dyDescent="0.25">
      <c r="A54" s="44">
        <v>7</v>
      </c>
      <c r="B54" t="s">
        <v>39</v>
      </c>
      <c r="C54" s="1">
        <v>163.5</v>
      </c>
      <c r="D54">
        <v>250.56</v>
      </c>
      <c r="E54">
        <v>59.66</v>
      </c>
      <c r="F54">
        <v>0</v>
      </c>
      <c r="G54" s="5">
        <v>64.97</v>
      </c>
      <c r="H54" s="24" t="s">
        <v>11</v>
      </c>
      <c r="I54" s="1">
        <f t="shared" si="11"/>
        <v>45333.47</v>
      </c>
      <c r="J54" s="1">
        <f t="shared" si="12"/>
        <v>58548.18</v>
      </c>
      <c r="K54" s="1">
        <f t="shared" si="13"/>
        <v>2927.41</v>
      </c>
      <c r="L54" s="1">
        <f t="shared" si="14"/>
        <v>243.95</v>
      </c>
      <c r="M54" s="1">
        <f t="shared" si="15"/>
        <v>196.2</v>
      </c>
      <c r="N54" s="6">
        <f t="shared" si="16"/>
        <v>47.75</v>
      </c>
      <c r="O54" s="7">
        <f t="shared" si="19"/>
        <v>196.2</v>
      </c>
      <c r="P54" s="49">
        <v>190</v>
      </c>
      <c r="Q54" s="6">
        <f t="shared" si="17"/>
        <v>16.21</v>
      </c>
      <c r="R54" s="6">
        <f>SUM(Tabuľka6[[#This Row],[Stĺpec16]]-Tabuľka6[[#This Row],[Stĺpec3]])</f>
        <v>26.5</v>
      </c>
    </row>
    <row r="55" spans="1:18" ht="15.75" x14ac:dyDescent="0.25">
      <c r="A55" s="44">
        <v>8</v>
      </c>
      <c r="B55" s="10" t="s">
        <v>8</v>
      </c>
      <c r="C55" s="1">
        <v>204.34</v>
      </c>
      <c r="D55">
        <v>0</v>
      </c>
      <c r="E55">
        <v>50.97</v>
      </c>
      <c r="F55">
        <v>10.31</v>
      </c>
      <c r="G55" s="5">
        <v>64.89</v>
      </c>
      <c r="H55" s="24" t="s">
        <v>11</v>
      </c>
      <c r="I55" s="1">
        <f t="shared" si="11"/>
        <v>45277.65</v>
      </c>
      <c r="J55" s="1">
        <f t="shared" si="12"/>
        <v>58476.08</v>
      </c>
      <c r="K55" s="1">
        <f t="shared" si="13"/>
        <v>2923.8</v>
      </c>
      <c r="L55" s="9">
        <f t="shared" si="14"/>
        <v>243.65</v>
      </c>
      <c r="M55" s="1">
        <f t="shared" si="15"/>
        <v>245.21</v>
      </c>
      <c r="N55" s="6">
        <f t="shared" si="16"/>
        <v>-1.56</v>
      </c>
      <c r="O55" s="8">
        <f>SUM(M55:N55)</f>
        <v>243.65</v>
      </c>
      <c r="P55" s="49">
        <v>210</v>
      </c>
      <c r="Q55" s="6">
        <f t="shared" si="17"/>
        <v>2.77</v>
      </c>
      <c r="R55" s="6">
        <f>SUM(Tabuľka6[[#This Row],[Stĺpec16]]-Tabuľka6[[#This Row],[Stĺpec3]])</f>
        <v>5.66</v>
      </c>
    </row>
    <row r="56" spans="1:18" ht="15.75" x14ac:dyDescent="0.25">
      <c r="A56" s="44">
        <v>101</v>
      </c>
      <c r="B56" t="s">
        <v>40</v>
      </c>
      <c r="C56" s="1">
        <v>163.5</v>
      </c>
      <c r="D56">
        <v>247.56</v>
      </c>
      <c r="E56">
        <v>51.03</v>
      </c>
      <c r="F56">
        <v>8.6199999999999992</v>
      </c>
      <c r="G56" s="5">
        <v>64.959999999999994</v>
      </c>
      <c r="H56" s="24" t="s">
        <v>11</v>
      </c>
      <c r="I56" s="1">
        <f t="shared" si="11"/>
        <v>45326.49</v>
      </c>
      <c r="J56" s="1">
        <f t="shared" si="12"/>
        <v>58539.16</v>
      </c>
      <c r="K56" s="1">
        <f t="shared" si="13"/>
        <v>2926.96</v>
      </c>
      <c r="L56" s="1">
        <f t="shared" si="14"/>
        <v>243.91</v>
      </c>
      <c r="M56" s="1">
        <f t="shared" si="15"/>
        <v>196.2</v>
      </c>
      <c r="N56" s="6">
        <f t="shared" si="16"/>
        <v>47.71</v>
      </c>
      <c r="O56" s="7">
        <f t="shared" ref="O56:O58" si="20">SUM(M56)</f>
        <v>196.2</v>
      </c>
      <c r="P56" s="49">
        <v>190</v>
      </c>
      <c r="Q56" s="6">
        <f t="shared" si="17"/>
        <v>16.21</v>
      </c>
      <c r="R56" s="6">
        <f>SUM(Tabuľka6[[#This Row],[Stĺpec16]]-Tabuľka6[[#This Row],[Stĺpec3]])</f>
        <v>26.5</v>
      </c>
    </row>
    <row r="57" spans="1:18" ht="15.75" x14ac:dyDescent="0.25">
      <c r="A57" s="44">
        <v>102</v>
      </c>
      <c r="B57" t="s">
        <v>41</v>
      </c>
      <c r="C57" s="1">
        <v>163.5</v>
      </c>
      <c r="D57">
        <v>224.67</v>
      </c>
      <c r="E57">
        <v>51.02</v>
      </c>
      <c r="F57">
        <v>8.6199999999999992</v>
      </c>
      <c r="G57" s="5">
        <v>64.95</v>
      </c>
      <c r="H57" s="24" t="s">
        <v>11</v>
      </c>
      <c r="I57" s="1">
        <f t="shared" si="11"/>
        <v>45319.51</v>
      </c>
      <c r="J57" s="1">
        <f t="shared" si="12"/>
        <v>58530.15</v>
      </c>
      <c r="K57" s="1">
        <f t="shared" si="13"/>
        <v>2926.51</v>
      </c>
      <c r="L57" s="1">
        <f t="shared" si="14"/>
        <v>243.88</v>
      </c>
      <c r="M57" s="1">
        <f t="shared" si="15"/>
        <v>196.2</v>
      </c>
      <c r="N57" s="6">
        <f t="shared" si="16"/>
        <v>47.68</v>
      </c>
      <c r="O57" s="7">
        <f t="shared" si="20"/>
        <v>196.2</v>
      </c>
      <c r="P57" s="49">
        <v>190</v>
      </c>
      <c r="Q57" s="6">
        <f t="shared" si="17"/>
        <v>16.21</v>
      </c>
      <c r="R57" s="6">
        <f>SUM(Tabuľka6[[#This Row],[Stĺpec16]]-Tabuľka6[[#This Row],[Stĺpec3]])</f>
        <v>26.5</v>
      </c>
    </row>
    <row r="58" spans="1:18" ht="15.75" x14ac:dyDescent="0.25">
      <c r="A58" s="44">
        <v>103</v>
      </c>
      <c r="B58" t="s">
        <v>42</v>
      </c>
      <c r="C58" s="1">
        <v>163.5</v>
      </c>
      <c r="D58">
        <v>195.56</v>
      </c>
      <c r="E58">
        <v>51.01</v>
      </c>
      <c r="F58">
        <v>8.6199999999999992</v>
      </c>
      <c r="G58" s="5">
        <v>64.94</v>
      </c>
      <c r="H58" s="24" t="s">
        <v>11</v>
      </c>
      <c r="I58" s="1">
        <f t="shared" si="11"/>
        <v>45312.53</v>
      </c>
      <c r="J58" s="1">
        <f t="shared" si="12"/>
        <v>58521.13</v>
      </c>
      <c r="K58" s="1">
        <f t="shared" si="13"/>
        <v>2926.06</v>
      </c>
      <c r="L58" s="1">
        <f t="shared" si="14"/>
        <v>243.84</v>
      </c>
      <c r="M58" s="1">
        <f t="shared" si="15"/>
        <v>196.2</v>
      </c>
      <c r="N58" s="6">
        <f t="shared" si="16"/>
        <v>47.64</v>
      </c>
      <c r="O58" s="7">
        <f t="shared" si="20"/>
        <v>196.2</v>
      </c>
      <c r="P58" s="49">
        <v>190</v>
      </c>
      <c r="Q58" s="6">
        <f t="shared" si="17"/>
        <v>16.21</v>
      </c>
      <c r="R58" s="6">
        <f>SUM(Tabuľka6[[#This Row],[Stĺpec16]]-Tabuľka6[[#This Row],[Stĺpec3]])</f>
        <v>26.5</v>
      </c>
    </row>
    <row r="59" spans="1:18" ht="15.75" x14ac:dyDescent="0.25">
      <c r="A59" s="44">
        <v>104</v>
      </c>
      <c r="B59" t="s">
        <v>43</v>
      </c>
      <c r="C59" s="1">
        <v>204.34</v>
      </c>
      <c r="D59">
        <v>263.73</v>
      </c>
      <c r="E59">
        <v>51.01</v>
      </c>
      <c r="F59">
        <v>8.6199999999999992</v>
      </c>
      <c r="G59" s="5">
        <v>64.94</v>
      </c>
      <c r="H59" s="24" t="s">
        <v>11</v>
      </c>
      <c r="I59" s="1">
        <f t="shared" si="11"/>
        <v>45312.53</v>
      </c>
      <c r="J59" s="1">
        <f t="shared" si="12"/>
        <v>58521.13</v>
      </c>
      <c r="K59" s="1">
        <f t="shared" si="13"/>
        <v>2926.06</v>
      </c>
      <c r="L59" s="9">
        <f t="shared" si="14"/>
        <v>243.84</v>
      </c>
      <c r="M59" s="1">
        <f t="shared" si="15"/>
        <v>245.21</v>
      </c>
      <c r="N59" s="6">
        <f t="shared" si="16"/>
        <v>-1.37</v>
      </c>
      <c r="O59" s="8">
        <f>SUM(M59:N59)</f>
        <v>243.84</v>
      </c>
      <c r="P59" s="49">
        <v>210</v>
      </c>
      <c r="Q59" s="6">
        <f t="shared" si="17"/>
        <v>2.77</v>
      </c>
      <c r="R59" s="6">
        <f>SUM(Tabuľka6[[#This Row],[Stĺpec16]]-Tabuľka6[[#This Row],[Stĺpec3]])</f>
        <v>5.66</v>
      </c>
    </row>
    <row r="60" spans="1:18" ht="15.75" x14ac:dyDescent="0.25">
      <c r="A60" s="44">
        <v>105</v>
      </c>
      <c r="B60" s="11" t="s">
        <v>44</v>
      </c>
      <c r="C60" s="1">
        <v>204.34</v>
      </c>
      <c r="D60">
        <v>511.06</v>
      </c>
      <c r="E60">
        <v>51.03</v>
      </c>
      <c r="F60">
        <v>8.6199999999999992</v>
      </c>
      <c r="G60" s="5">
        <v>64.959999999999994</v>
      </c>
      <c r="H60" s="24" t="s">
        <v>11</v>
      </c>
      <c r="I60" s="1">
        <f t="shared" si="11"/>
        <v>45326.49</v>
      </c>
      <c r="J60" s="1">
        <f t="shared" si="12"/>
        <v>58539.16</v>
      </c>
      <c r="K60" s="1">
        <f t="shared" si="13"/>
        <v>2926.96</v>
      </c>
      <c r="L60" s="1">
        <f t="shared" si="14"/>
        <v>243.91</v>
      </c>
      <c r="M60" s="1">
        <f t="shared" si="15"/>
        <v>245.21</v>
      </c>
      <c r="N60" s="6">
        <f t="shared" si="16"/>
        <v>-1.3</v>
      </c>
      <c r="O60" s="8">
        <f>SUM(M60:N60)</f>
        <v>243.91</v>
      </c>
      <c r="P60" s="49">
        <v>210</v>
      </c>
      <c r="Q60" s="6">
        <f t="shared" si="17"/>
        <v>2.77</v>
      </c>
      <c r="R60" s="6">
        <f>SUM(Tabuľka6[[#This Row],[Stĺpec16]]-Tabuľka6[[#This Row],[Stĺpec3]])</f>
        <v>5.66</v>
      </c>
    </row>
    <row r="61" spans="1:18" ht="15.75" x14ac:dyDescent="0.25">
      <c r="A61" s="44">
        <v>106</v>
      </c>
      <c r="B61" t="s">
        <v>223</v>
      </c>
      <c r="C61" s="1">
        <v>163.5</v>
      </c>
      <c r="D61">
        <v>213.56</v>
      </c>
      <c r="E61">
        <v>51.03</v>
      </c>
      <c r="F61">
        <v>8.6199999999999992</v>
      </c>
      <c r="G61" s="5">
        <v>64.959999999999994</v>
      </c>
      <c r="H61" s="24" t="s">
        <v>11</v>
      </c>
      <c r="I61" s="1">
        <f t="shared" si="11"/>
        <v>45326.49</v>
      </c>
      <c r="J61" s="1">
        <f t="shared" si="12"/>
        <v>58539.16</v>
      </c>
      <c r="K61" s="1">
        <f t="shared" si="13"/>
        <v>2926.96</v>
      </c>
      <c r="L61" s="1">
        <f t="shared" si="14"/>
        <v>243.91</v>
      </c>
      <c r="M61" s="1">
        <f t="shared" si="15"/>
        <v>196.2</v>
      </c>
      <c r="N61" s="6">
        <f t="shared" si="16"/>
        <v>47.71</v>
      </c>
      <c r="O61" s="7">
        <f t="shared" ref="O61:O63" si="21">SUM(M61)</f>
        <v>196.2</v>
      </c>
      <c r="P61" s="49">
        <v>190</v>
      </c>
      <c r="Q61" s="6">
        <f t="shared" si="17"/>
        <v>16.21</v>
      </c>
      <c r="R61" s="6">
        <f>SUM(Tabuľka6[[#This Row],[Stĺpec16]]-Tabuľka6[[#This Row],[Stĺpec3]])</f>
        <v>26.5</v>
      </c>
    </row>
    <row r="62" spans="1:18" ht="15.75" x14ac:dyDescent="0.25">
      <c r="A62" s="44">
        <v>107</v>
      </c>
      <c r="B62" t="s">
        <v>45</v>
      </c>
      <c r="C62" s="1">
        <v>163.5</v>
      </c>
      <c r="D62">
        <v>213.56</v>
      </c>
      <c r="E62">
        <v>51.03</v>
      </c>
      <c r="F62">
        <v>8.6199999999999992</v>
      </c>
      <c r="G62" s="5">
        <v>64.959999999999994</v>
      </c>
      <c r="H62" s="24" t="s">
        <v>11</v>
      </c>
      <c r="I62" s="1">
        <f t="shared" si="11"/>
        <v>45326.49</v>
      </c>
      <c r="J62" s="1">
        <f t="shared" si="12"/>
        <v>58539.16</v>
      </c>
      <c r="K62" s="1">
        <f t="shared" si="13"/>
        <v>2926.96</v>
      </c>
      <c r="L62" s="1">
        <f t="shared" si="14"/>
        <v>243.91</v>
      </c>
      <c r="M62" s="1">
        <f t="shared" si="15"/>
        <v>196.2</v>
      </c>
      <c r="N62" s="6">
        <f t="shared" si="16"/>
        <v>47.71</v>
      </c>
      <c r="O62" s="7">
        <f t="shared" si="21"/>
        <v>196.2</v>
      </c>
      <c r="P62" s="49">
        <v>190</v>
      </c>
      <c r="Q62" s="6">
        <f t="shared" si="17"/>
        <v>16.21</v>
      </c>
      <c r="R62" s="6">
        <f>SUM(Tabuľka6[[#This Row],[Stĺpec16]]-Tabuľka6[[#This Row],[Stĺpec3]])</f>
        <v>26.5</v>
      </c>
    </row>
    <row r="63" spans="1:18" ht="15.75" x14ac:dyDescent="0.25">
      <c r="A63" s="44">
        <v>108</v>
      </c>
      <c r="B63" t="s">
        <v>46</v>
      </c>
      <c r="C63" s="1">
        <v>163.5</v>
      </c>
      <c r="D63">
        <v>224.56</v>
      </c>
      <c r="E63">
        <v>51.03</v>
      </c>
      <c r="F63">
        <v>8.6199999999999992</v>
      </c>
      <c r="G63" s="5">
        <v>64.959999999999994</v>
      </c>
      <c r="H63" s="24" t="s">
        <v>11</v>
      </c>
      <c r="I63" s="1">
        <f t="shared" si="11"/>
        <v>45326.49</v>
      </c>
      <c r="J63" s="1">
        <f t="shared" si="12"/>
        <v>58539.16</v>
      </c>
      <c r="K63" s="1">
        <f t="shared" si="13"/>
        <v>2926.96</v>
      </c>
      <c r="L63" s="1">
        <f t="shared" si="14"/>
        <v>243.91</v>
      </c>
      <c r="M63" s="1">
        <f t="shared" si="15"/>
        <v>196.2</v>
      </c>
      <c r="N63" s="6">
        <f t="shared" si="16"/>
        <v>47.71</v>
      </c>
      <c r="O63" s="7">
        <f t="shared" si="21"/>
        <v>196.2</v>
      </c>
      <c r="P63" s="49">
        <v>190</v>
      </c>
      <c r="Q63" s="6">
        <f t="shared" si="17"/>
        <v>16.21</v>
      </c>
      <c r="R63" s="6">
        <f>SUM(Tabuľka6[[#This Row],[Stĺpec16]]-Tabuľka6[[#This Row],[Stĺpec3]])</f>
        <v>26.5</v>
      </c>
    </row>
    <row r="64" spans="1:18" ht="15.75" x14ac:dyDescent="0.25">
      <c r="A64" s="44">
        <v>201</v>
      </c>
      <c r="B64" t="s">
        <v>47</v>
      </c>
      <c r="C64" s="1">
        <v>204.34</v>
      </c>
      <c r="D64">
        <v>255.22</v>
      </c>
      <c r="E64">
        <v>51.02</v>
      </c>
      <c r="F64">
        <v>8.6199999999999992</v>
      </c>
      <c r="G64" s="5">
        <v>64.95</v>
      </c>
      <c r="H64" s="24" t="s">
        <v>11</v>
      </c>
      <c r="I64" s="1">
        <f t="shared" si="11"/>
        <v>45319.51</v>
      </c>
      <c r="J64" s="1">
        <f t="shared" si="12"/>
        <v>58530.15</v>
      </c>
      <c r="K64" s="1">
        <f t="shared" si="13"/>
        <v>2926.51</v>
      </c>
      <c r="L64" s="9">
        <f t="shared" si="14"/>
        <v>243.88</v>
      </c>
      <c r="M64" s="1">
        <f t="shared" si="15"/>
        <v>245.21</v>
      </c>
      <c r="N64" s="6">
        <f t="shared" si="16"/>
        <v>-1.33</v>
      </c>
      <c r="O64" s="8">
        <f>SUM(M64:N64)</f>
        <v>243.88</v>
      </c>
      <c r="P64" s="49">
        <v>210</v>
      </c>
      <c r="Q64" s="6">
        <f t="shared" si="17"/>
        <v>2.77</v>
      </c>
      <c r="R64" s="6">
        <f>SUM(Tabuľka6[[#This Row],[Stĺpec16]]-Tabuľka6[[#This Row],[Stĺpec3]])</f>
        <v>5.66</v>
      </c>
    </row>
    <row r="65" spans="1:21" ht="15.75" x14ac:dyDescent="0.25">
      <c r="A65" s="44">
        <v>202</v>
      </c>
      <c r="B65" t="s">
        <v>48</v>
      </c>
      <c r="C65" s="1">
        <v>163.5</v>
      </c>
      <c r="D65">
        <v>217.56</v>
      </c>
      <c r="E65">
        <v>51.02</v>
      </c>
      <c r="F65">
        <v>8.6199999999999992</v>
      </c>
      <c r="G65" s="5">
        <v>64.95</v>
      </c>
      <c r="H65" s="24" t="s">
        <v>11</v>
      </c>
      <c r="I65" s="1">
        <f t="shared" si="11"/>
        <v>45319.51</v>
      </c>
      <c r="J65" s="1">
        <f t="shared" si="12"/>
        <v>58530.15</v>
      </c>
      <c r="K65" s="1">
        <f t="shared" si="13"/>
        <v>2926.51</v>
      </c>
      <c r="L65" s="1">
        <f t="shared" si="14"/>
        <v>243.88</v>
      </c>
      <c r="M65" s="1">
        <f t="shared" si="15"/>
        <v>196.2</v>
      </c>
      <c r="N65" s="6">
        <f t="shared" si="16"/>
        <v>47.68</v>
      </c>
      <c r="O65" s="7">
        <f t="shared" ref="O65:O67" si="22">SUM(M65)</f>
        <v>196.2</v>
      </c>
      <c r="P65" s="49">
        <v>190</v>
      </c>
      <c r="Q65" s="6">
        <f t="shared" si="17"/>
        <v>16.21</v>
      </c>
      <c r="R65" s="6">
        <f>SUM(Tabuľka6[[#This Row],[Stĺpec16]]-Tabuľka6[[#This Row],[Stĺpec3]])</f>
        <v>26.5</v>
      </c>
    </row>
    <row r="66" spans="1:21" ht="15.75" x14ac:dyDescent="0.25">
      <c r="A66" s="44">
        <v>203</v>
      </c>
      <c r="B66" t="s">
        <v>49</v>
      </c>
      <c r="C66" s="1">
        <v>163.5</v>
      </c>
      <c r="D66">
        <v>207.56</v>
      </c>
      <c r="E66">
        <v>50.98</v>
      </c>
      <c r="F66">
        <v>8.6199999999999992</v>
      </c>
      <c r="G66" s="5">
        <v>64.91</v>
      </c>
      <c r="H66" s="24" t="s">
        <v>11</v>
      </c>
      <c r="I66" s="1">
        <f t="shared" si="11"/>
        <v>45291.6</v>
      </c>
      <c r="J66" s="1">
        <f t="shared" si="12"/>
        <v>58494.1</v>
      </c>
      <c r="K66" s="1">
        <f t="shared" si="13"/>
        <v>2924.71</v>
      </c>
      <c r="L66" s="1">
        <f t="shared" si="14"/>
        <v>243.73</v>
      </c>
      <c r="M66" s="1">
        <f t="shared" si="15"/>
        <v>196.2</v>
      </c>
      <c r="N66" s="6">
        <f t="shared" si="16"/>
        <v>47.53</v>
      </c>
      <c r="O66" s="7">
        <f t="shared" si="22"/>
        <v>196.2</v>
      </c>
      <c r="P66" s="49">
        <v>190</v>
      </c>
      <c r="Q66" s="6">
        <f t="shared" si="17"/>
        <v>16.21</v>
      </c>
      <c r="R66" s="6">
        <f>SUM(Tabuľka6[[#This Row],[Stĺpec16]]-Tabuľka6[[#This Row],[Stĺpec3]])</f>
        <v>26.5</v>
      </c>
    </row>
    <row r="67" spans="1:21" ht="15.75" x14ac:dyDescent="0.25">
      <c r="A67" s="44">
        <v>204</v>
      </c>
      <c r="B67" t="s">
        <v>50</v>
      </c>
      <c r="C67" s="1">
        <v>163.5</v>
      </c>
      <c r="D67">
        <v>180.71</v>
      </c>
      <c r="E67">
        <v>51.02</v>
      </c>
      <c r="F67">
        <v>8.6199999999999992</v>
      </c>
      <c r="G67" s="5">
        <v>64.94</v>
      </c>
      <c r="H67" s="24" t="s">
        <v>11</v>
      </c>
      <c r="I67" s="1">
        <f t="shared" si="11"/>
        <v>45312.53</v>
      </c>
      <c r="J67" s="1">
        <f t="shared" si="12"/>
        <v>58521.13</v>
      </c>
      <c r="K67" s="1">
        <f t="shared" si="13"/>
        <v>2926.06</v>
      </c>
      <c r="L67" s="1">
        <f t="shared" si="14"/>
        <v>243.84</v>
      </c>
      <c r="M67" s="1">
        <f t="shared" si="15"/>
        <v>196.2</v>
      </c>
      <c r="N67" s="6">
        <f t="shared" si="16"/>
        <v>47.64</v>
      </c>
      <c r="O67" s="7">
        <f t="shared" si="22"/>
        <v>196.2</v>
      </c>
      <c r="P67" s="49">
        <v>190</v>
      </c>
      <c r="Q67" s="6">
        <f t="shared" si="17"/>
        <v>16.21</v>
      </c>
      <c r="R67" s="6">
        <f>SUM(Tabuľka6[[#This Row],[Stĺpec16]]-Tabuľka6[[#This Row],[Stĺpec3]])</f>
        <v>26.5</v>
      </c>
    </row>
    <row r="68" spans="1:21" ht="15.75" x14ac:dyDescent="0.25">
      <c r="A68" s="44">
        <v>205</v>
      </c>
      <c r="B68" t="s">
        <v>51</v>
      </c>
      <c r="C68" s="1">
        <v>204.34</v>
      </c>
      <c r="D68">
        <v>268.95999999999998</v>
      </c>
      <c r="E68">
        <v>59.66</v>
      </c>
      <c r="F68">
        <v>0</v>
      </c>
      <c r="G68" s="5">
        <v>64.97</v>
      </c>
      <c r="H68" s="24" t="s">
        <v>11</v>
      </c>
      <c r="I68" s="1">
        <f t="shared" si="11"/>
        <v>45333.47</v>
      </c>
      <c r="J68" s="1">
        <f t="shared" si="12"/>
        <v>58548.18</v>
      </c>
      <c r="K68" s="1">
        <f t="shared" si="13"/>
        <v>2927.41</v>
      </c>
      <c r="L68" s="9">
        <f t="shared" si="14"/>
        <v>243.95</v>
      </c>
      <c r="M68" s="1">
        <f t="shared" si="15"/>
        <v>245.21</v>
      </c>
      <c r="N68" s="6">
        <f t="shared" si="16"/>
        <v>-1.26</v>
      </c>
      <c r="O68" s="8">
        <f>SUM(M68:N68)</f>
        <v>243.95</v>
      </c>
      <c r="P68" s="49">
        <v>210</v>
      </c>
      <c r="Q68" s="6">
        <f t="shared" si="17"/>
        <v>2.77</v>
      </c>
      <c r="R68" s="6">
        <f>SUM(Tabuľka6[[#This Row],[Stĺpec16]]-Tabuľka6[[#This Row],[Stĺpec3]])</f>
        <v>5.66</v>
      </c>
    </row>
    <row r="69" spans="1:21" ht="15.75" x14ac:dyDescent="0.25">
      <c r="A69" s="44">
        <v>206</v>
      </c>
      <c r="B69" s="10" t="s">
        <v>8</v>
      </c>
      <c r="C69" s="1">
        <v>204.34</v>
      </c>
      <c r="D69">
        <v>0</v>
      </c>
      <c r="E69">
        <v>51.01</v>
      </c>
      <c r="F69">
        <v>8.6199999999999992</v>
      </c>
      <c r="G69" s="5">
        <v>64.94</v>
      </c>
      <c r="H69" s="24" t="s">
        <v>11</v>
      </c>
      <c r="I69" s="1">
        <f t="shared" si="11"/>
        <v>45312.53</v>
      </c>
      <c r="J69" s="1">
        <f t="shared" si="12"/>
        <v>58521.13</v>
      </c>
      <c r="K69" s="1">
        <f t="shared" si="13"/>
        <v>2926.06</v>
      </c>
      <c r="L69" s="1">
        <f t="shared" si="14"/>
        <v>243.84</v>
      </c>
      <c r="M69" s="1">
        <f t="shared" si="15"/>
        <v>245.21</v>
      </c>
      <c r="N69" s="6">
        <f t="shared" si="16"/>
        <v>-1.37</v>
      </c>
      <c r="O69" s="8">
        <f>SUM(M69:N69)</f>
        <v>243.84</v>
      </c>
      <c r="P69" s="49">
        <v>210</v>
      </c>
      <c r="Q69" s="6">
        <f t="shared" si="17"/>
        <v>2.77</v>
      </c>
      <c r="R69" s="6">
        <f>SUM(Tabuľka6[[#This Row],[Stĺpec16]]-Tabuľka6[[#This Row],[Stĺpec3]])</f>
        <v>5.66</v>
      </c>
    </row>
    <row r="70" spans="1:21" ht="15.75" x14ac:dyDescent="0.25">
      <c r="A70" s="44">
        <v>207</v>
      </c>
      <c r="B70" t="s">
        <v>52</v>
      </c>
      <c r="C70" s="1">
        <v>163.5</v>
      </c>
      <c r="D70">
        <v>195.76</v>
      </c>
      <c r="E70">
        <v>51.01</v>
      </c>
      <c r="F70">
        <v>8.6199999999999992</v>
      </c>
      <c r="G70" s="5">
        <v>64.94</v>
      </c>
      <c r="H70" s="24" t="s">
        <v>11</v>
      </c>
      <c r="I70" s="1">
        <f t="shared" si="11"/>
        <v>45312.53</v>
      </c>
      <c r="J70" s="1">
        <f t="shared" si="12"/>
        <v>58521.13</v>
      </c>
      <c r="K70" s="1">
        <f t="shared" si="13"/>
        <v>2926.06</v>
      </c>
      <c r="L70" s="1">
        <f t="shared" si="14"/>
        <v>243.84</v>
      </c>
      <c r="M70" s="1">
        <f t="shared" si="15"/>
        <v>196.2</v>
      </c>
      <c r="N70" s="6">
        <f t="shared" si="16"/>
        <v>47.64</v>
      </c>
      <c r="O70" s="7">
        <f t="shared" ref="O70:O71" si="23">SUM(M70)</f>
        <v>196.2</v>
      </c>
      <c r="P70" s="49">
        <v>190</v>
      </c>
      <c r="Q70" s="6">
        <f t="shared" si="17"/>
        <v>16.21</v>
      </c>
      <c r="R70" s="6">
        <f>SUM(Tabuľka6[[#This Row],[Stĺpec16]]-Tabuľka6[[#This Row],[Stĺpec3]])</f>
        <v>26.5</v>
      </c>
    </row>
    <row r="71" spans="1:21" ht="15.75" x14ac:dyDescent="0.25">
      <c r="A71" s="87">
        <v>208</v>
      </c>
      <c r="B71" t="s">
        <v>53</v>
      </c>
      <c r="C71" s="1">
        <v>163.5</v>
      </c>
      <c r="D71">
        <v>208.16</v>
      </c>
      <c r="E71">
        <v>50.99</v>
      </c>
      <c r="F71">
        <v>8.6199999999999992</v>
      </c>
      <c r="G71" s="5">
        <v>65.989999999999995</v>
      </c>
      <c r="H71" s="24" t="s">
        <v>11</v>
      </c>
      <c r="I71" s="1">
        <f t="shared" si="11"/>
        <v>46045.18</v>
      </c>
      <c r="J71" s="1">
        <f t="shared" si="12"/>
        <v>59467.35</v>
      </c>
      <c r="K71" s="1">
        <f t="shared" si="13"/>
        <v>2973.37</v>
      </c>
      <c r="L71" s="1">
        <f t="shared" si="14"/>
        <v>247.78</v>
      </c>
      <c r="M71" s="1">
        <f t="shared" si="15"/>
        <v>196.2</v>
      </c>
      <c r="N71" s="6">
        <f t="shared" si="16"/>
        <v>51.58</v>
      </c>
      <c r="O71" s="7">
        <f t="shared" si="23"/>
        <v>196.2</v>
      </c>
      <c r="P71" s="49">
        <v>190</v>
      </c>
      <c r="Q71" s="6">
        <f t="shared" si="17"/>
        <v>16.21</v>
      </c>
      <c r="R71" s="6">
        <f>SUM(Tabuľka6[[#This Row],[Stĺpec16]]-Tabuľka6[[#This Row],[Stĺpec3]])</f>
        <v>26.5</v>
      </c>
    </row>
    <row r="72" spans="1:21" ht="15.75" hidden="1" x14ac:dyDescent="0.25">
      <c r="A72" s="18" t="s">
        <v>224</v>
      </c>
      <c r="B72" s="3"/>
      <c r="C72" s="2">
        <f>SUM(C16:C71)</f>
        <v>8225.7999999999993</v>
      </c>
      <c r="D72" s="3"/>
      <c r="E72" s="3"/>
      <c r="F72" s="3"/>
      <c r="G72" s="3"/>
      <c r="H72" s="25"/>
      <c r="I72" s="2"/>
      <c r="J72" s="2"/>
      <c r="K72" s="2"/>
      <c r="L72" s="2"/>
      <c r="M72" s="2"/>
      <c r="N72" s="3"/>
      <c r="O72" s="17">
        <f>SUM(O16:O71)</f>
        <v>9852.84</v>
      </c>
      <c r="P72" s="2">
        <f>SUM(P16:P71)</f>
        <v>9170</v>
      </c>
      <c r="Q72" s="6">
        <f t="shared" si="6"/>
        <v>11.48</v>
      </c>
      <c r="R72" s="6"/>
    </row>
    <row r="73" spans="1:21" hidden="1" x14ac:dyDescent="0.2">
      <c r="J73" s="1" t="s">
        <v>314</v>
      </c>
      <c r="K73" s="1"/>
      <c r="L73" s="1"/>
      <c r="N73" s="1"/>
      <c r="O73" s="1"/>
      <c r="P73" s="1">
        <f>SUM(P72-C72)</f>
        <v>944.2</v>
      </c>
      <c r="R73" s="6"/>
    </row>
    <row r="74" spans="1:21" hidden="1" x14ac:dyDescent="0.2">
      <c r="K74" s="1"/>
      <c r="L74" s="1"/>
      <c r="M74" s="1"/>
      <c r="N74" s="1"/>
      <c r="O74" s="1"/>
      <c r="P74" s="6">
        <f>P73*12</f>
        <v>11330.4</v>
      </c>
      <c r="R74" s="6"/>
    </row>
    <row r="75" spans="1:21" ht="33.75" hidden="1" customHeight="1" x14ac:dyDescent="0.2">
      <c r="A75" s="135" t="s">
        <v>306</v>
      </c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28"/>
    </row>
    <row r="76" spans="1:21" hidden="1" x14ac:dyDescent="0.2">
      <c r="K76" s="1"/>
      <c r="L76" s="1"/>
      <c r="M76" s="1"/>
      <c r="N76" s="1"/>
      <c r="O76" s="1"/>
    </row>
    <row r="77" spans="1:21" ht="42.75" hidden="1" customHeight="1" x14ac:dyDescent="0.2">
      <c r="A77" s="131" t="s">
        <v>305</v>
      </c>
      <c r="B77" s="131"/>
      <c r="C77" s="131"/>
      <c r="D77" s="131"/>
      <c r="E77" s="131"/>
      <c r="F77" s="131"/>
      <c r="G77" s="131"/>
      <c r="H77" s="131"/>
      <c r="I77" s="131"/>
      <c r="J77" s="34" t="s">
        <v>301</v>
      </c>
      <c r="K77" s="35">
        <v>120</v>
      </c>
      <c r="L77" s="35" t="s">
        <v>303</v>
      </c>
      <c r="M77" s="1"/>
      <c r="N77" s="1"/>
      <c r="O77" s="1"/>
      <c r="T77" s="50"/>
      <c r="U77" s="6"/>
    </row>
    <row r="78" spans="1:21" ht="15.75" hidden="1" x14ac:dyDescent="0.2">
      <c r="A78" s="131"/>
      <c r="B78" s="131"/>
      <c r="C78" s="131"/>
      <c r="D78" s="131"/>
      <c r="E78" s="131"/>
      <c r="F78" s="131"/>
      <c r="G78" s="131"/>
      <c r="H78" s="131"/>
      <c r="I78" s="131"/>
      <c r="J78" s="36" t="s">
        <v>302</v>
      </c>
      <c r="K78" s="37">
        <v>240</v>
      </c>
      <c r="L78" s="37" t="s">
        <v>303</v>
      </c>
      <c r="M78" s="1"/>
      <c r="N78" s="1"/>
      <c r="O78" s="1"/>
    </row>
    <row r="79" spans="1:21" hidden="1" x14ac:dyDescent="0.2">
      <c r="K79" s="1"/>
      <c r="L79" s="1"/>
      <c r="M79" s="1"/>
      <c r="N79" s="1"/>
      <c r="O79" s="1"/>
    </row>
    <row r="80" spans="1:21" hidden="1" x14ac:dyDescent="0.2">
      <c r="K80" s="1"/>
      <c r="L80" s="1"/>
      <c r="M80" s="1"/>
      <c r="N80" s="1"/>
      <c r="O80" s="1"/>
    </row>
    <row r="81" spans="11:15" x14ac:dyDescent="0.2">
      <c r="K81" s="1"/>
      <c r="L81" s="1"/>
      <c r="M81" s="1"/>
      <c r="N81" s="1"/>
      <c r="O81" s="1"/>
    </row>
    <row r="82" spans="11:15" x14ac:dyDescent="0.2">
      <c r="K82" s="1"/>
      <c r="L82" s="1"/>
      <c r="M82" s="1"/>
      <c r="N82" s="1"/>
      <c r="O82" s="1"/>
    </row>
    <row r="83" spans="11:15" x14ac:dyDescent="0.2">
      <c r="K83" s="1"/>
      <c r="L83" s="1"/>
      <c r="M83" s="1"/>
      <c r="N83" s="1"/>
      <c r="O83" s="1"/>
    </row>
    <row r="84" spans="11:15" x14ac:dyDescent="0.2">
      <c r="K84" s="1"/>
      <c r="L84" s="1"/>
      <c r="M84" s="1"/>
      <c r="N84" s="1"/>
      <c r="O84" s="1"/>
    </row>
    <row r="85" spans="11:15" x14ac:dyDescent="0.2">
      <c r="K85" s="1"/>
      <c r="L85" s="1"/>
      <c r="M85" s="1"/>
      <c r="N85" s="1"/>
      <c r="O85" s="1"/>
    </row>
    <row r="86" spans="11:15" x14ac:dyDescent="0.2">
      <c r="K86" s="1"/>
      <c r="L86" s="1"/>
      <c r="M86" s="1"/>
      <c r="N86" s="1"/>
      <c r="O86" s="1"/>
    </row>
    <row r="87" spans="11:15" x14ac:dyDescent="0.2">
      <c r="K87" s="1"/>
      <c r="L87" s="1"/>
      <c r="M87" s="1"/>
      <c r="N87" s="1"/>
      <c r="O87" s="1"/>
    </row>
    <row r="88" spans="11:15" x14ac:dyDescent="0.2">
      <c r="K88" s="1"/>
      <c r="L88" s="1"/>
      <c r="M88" s="1"/>
      <c r="N88" s="1"/>
      <c r="O88" s="1"/>
    </row>
    <row r="89" spans="11:15" x14ac:dyDescent="0.2">
      <c r="K89" s="1"/>
      <c r="L89" s="1"/>
      <c r="M89" s="1"/>
      <c r="N89" s="1"/>
      <c r="O89" s="1"/>
    </row>
  </sheetData>
  <mergeCells count="2">
    <mergeCell ref="A77:I78"/>
    <mergeCell ref="A75:Q75"/>
  </mergeCells>
  <pageMargins left="0.7" right="0.7" top="0.75" bottom="0.75" header="0.3" footer="0.3"/>
  <pageSetup paperSize="9" scale="73" orientation="portrait" horizontalDpi="0" verticalDpi="0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EF23-11BB-496B-B6FD-6151342C66FC}">
  <sheetPr>
    <pageSetUpPr fitToPage="1"/>
  </sheetPr>
  <dimension ref="A1:V168"/>
  <sheetViews>
    <sheetView tabSelected="1" workbookViewId="0">
      <selection activeCell="J38" sqref="J38"/>
    </sheetView>
  </sheetViews>
  <sheetFormatPr defaultRowHeight="15" x14ac:dyDescent="0.2"/>
  <cols>
    <col min="1" max="1" width="5.88671875" style="12" customWidth="1"/>
    <col min="2" max="2" width="10" bestFit="1" customWidth="1"/>
    <col min="3" max="3" width="11.44140625" style="12" bestFit="1" customWidth="1"/>
    <col min="4" max="4" width="10" customWidth="1"/>
    <col min="5" max="5" width="4.5546875" customWidth="1"/>
    <col min="6" max="6" width="6.77734375" customWidth="1"/>
    <col min="7" max="7" width="8.88671875" customWidth="1"/>
    <col min="8" max="8" width="10.88671875" customWidth="1"/>
  </cols>
  <sheetData>
    <row r="1" spans="1:9" ht="18" x14ac:dyDescent="0.25">
      <c r="A1" s="86" t="s">
        <v>370</v>
      </c>
      <c r="C1"/>
    </row>
    <row r="2" spans="1:9" hidden="1" x14ac:dyDescent="0.2">
      <c r="A2" s="87" t="s">
        <v>294</v>
      </c>
      <c r="C2"/>
    </row>
    <row r="3" spans="1:9" hidden="1" x14ac:dyDescent="0.2">
      <c r="A3" s="87" t="s">
        <v>295</v>
      </c>
      <c r="C3"/>
    </row>
    <row r="4" spans="1:9" hidden="1" x14ac:dyDescent="0.2">
      <c r="A4" s="87"/>
      <c r="C4"/>
    </row>
    <row r="5" spans="1:9" ht="15.75" hidden="1" x14ac:dyDescent="0.25">
      <c r="A5" s="87" t="s">
        <v>361</v>
      </c>
      <c r="C5"/>
    </row>
    <row r="6" spans="1:9" hidden="1" x14ac:dyDescent="0.2">
      <c r="A6" s="87"/>
      <c r="C6"/>
    </row>
    <row r="7" spans="1:9" hidden="1" x14ac:dyDescent="0.2">
      <c r="A7" s="87"/>
      <c r="C7"/>
    </row>
    <row r="8" spans="1:9" hidden="1" x14ac:dyDescent="0.2">
      <c r="A8" s="87"/>
      <c r="C8"/>
    </row>
    <row r="9" spans="1:9" hidden="1" x14ac:dyDescent="0.2">
      <c r="A9" s="87"/>
      <c r="C9"/>
    </row>
    <row r="10" spans="1:9" hidden="1" x14ac:dyDescent="0.2">
      <c r="A10" s="87"/>
      <c r="C10"/>
    </row>
    <row r="11" spans="1:9" hidden="1" x14ac:dyDescent="0.2">
      <c r="A11" s="87" t="s">
        <v>313</v>
      </c>
      <c r="C11"/>
    </row>
    <row r="12" spans="1:9" x14ac:dyDescent="0.2">
      <c r="A12" s="87"/>
      <c r="C12"/>
    </row>
    <row r="13" spans="1:9" ht="47.25" x14ac:dyDescent="0.2">
      <c r="A13" s="85" t="s">
        <v>0</v>
      </c>
      <c r="B13" s="31" t="s">
        <v>300</v>
      </c>
      <c r="C13" s="40" t="s">
        <v>360</v>
      </c>
      <c r="D13" s="31" t="s">
        <v>336</v>
      </c>
      <c r="E13" s="41"/>
      <c r="F13" s="85" t="s">
        <v>0</v>
      </c>
      <c r="G13" s="31" t="s">
        <v>300</v>
      </c>
      <c r="H13" s="40" t="s">
        <v>360</v>
      </c>
      <c r="I13" s="31" t="s">
        <v>336</v>
      </c>
    </row>
    <row r="14" spans="1:9" ht="15.75" x14ac:dyDescent="0.2">
      <c r="A14" s="88"/>
      <c r="B14" s="41"/>
      <c r="C14" s="42"/>
    </row>
    <row r="15" spans="1:9" ht="15.75" x14ac:dyDescent="0.25">
      <c r="A15" s="93" t="s">
        <v>315</v>
      </c>
      <c r="B15" s="41"/>
      <c r="C15" s="42"/>
      <c r="F15" s="94" t="s">
        <v>316</v>
      </c>
      <c r="G15" s="1"/>
      <c r="H15" s="2"/>
      <c r="I15" s="5"/>
    </row>
    <row r="16" spans="1:9" ht="15.75" x14ac:dyDescent="0.25">
      <c r="A16" s="89">
        <v>101</v>
      </c>
      <c r="B16" s="90">
        <v>101.87</v>
      </c>
      <c r="C16" s="92">
        <v>115</v>
      </c>
      <c r="D16" s="91">
        <f t="shared" ref="D16:D43" si="0">SUM(C16-B16)</f>
        <v>13.13</v>
      </c>
      <c r="E16" s="5"/>
      <c r="F16" s="94">
        <v>1</v>
      </c>
      <c r="G16" s="66">
        <v>106.11</v>
      </c>
      <c r="H16" s="69">
        <v>115</v>
      </c>
      <c r="I16" s="67">
        <f t="shared" ref="I16:I49" si="1">SUM(H16-G16)</f>
        <v>8.89</v>
      </c>
    </row>
    <row r="17" spans="1:9" ht="15.75" x14ac:dyDescent="0.25">
      <c r="A17" s="89">
        <v>102</v>
      </c>
      <c r="B17" s="90">
        <v>98.17</v>
      </c>
      <c r="C17" s="92">
        <v>115</v>
      </c>
      <c r="D17" s="91">
        <f t="shared" si="0"/>
        <v>16.829999999999998</v>
      </c>
      <c r="E17" s="5"/>
      <c r="F17" s="94">
        <v>2</v>
      </c>
      <c r="G17" s="66">
        <v>101.87</v>
      </c>
      <c r="H17" s="69">
        <v>115</v>
      </c>
      <c r="I17" s="67">
        <f t="shared" si="1"/>
        <v>13.13</v>
      </c>
    </row>
    <row r="18" spans="1:9" ht="15.75" x14ac:dyDescent="0.25">
      <c r="A18" s="89">
        <v>103</v>
      </c>
      <c r="B18" s="90">
        <v>101.87</v>
      </c>
      <c r="C18" s="92">
        <v>115</v>
      </c>
      <c r="D18" s="91">
        <f t="shared" si="0"/>
        <v>13.13</v>
      </c>
      <c r="E18" s="5"/>
      <c r="F18" s="94">
        <v>3</v>
      </c>
      <c r="G18" s="66">
        <v>101.87</v>
      </c>
      <c r="H18" s="69">
        <v>115</v>
      </c>
      <c r="I18" s="67">
        <f t="shared" si="1"/>
        <v>13.13</v>
      </c>
    </row>
    <row r="19" spans="1:9" ht="15.75" x14ac:dyDescent="0.25">
      <c r="A19" s="89">
        <v>104</v>
      </c>
      <c r="B19" s="90">
        <v>101.87</v>
      </c>
      <c r="C19" s="92">
        <v>115</v>
      </c>
      <c r="D19" s="91">
        <f t="shared" si="0"/>
        <v>13.13</v>
      </c>
      <c r="E19" s="5"/>
      <c r="F19" s="94">
        <v>6</v>
      </c>
      <c r="G19" s="66">
        <v>98.17</v>
      </c>
      <c r="H19" s="69">
        <v>115</v>
      </c>
      <c r="I19" s="67">
        <f t="shared" si="1"/>
        <v>16.829999999999998</v>
      </c>
    </row>
    <row r="20" spans="1:9" ht="15.75" x14ac:dyDescent="0.25">
      <c r="A20" s="89">
        <v>105</v>
      </c>
      <c r="B20" s="90">
        <v>101.87</v>
      </c>
      <c r="C20" s="92">
        <v>115</v>
      </c>
      <c r="D20" s="91">
        <f t="shared" si="0"/>
        <v>13.13</v>
      </c>
      <c r="E20" s="5"/>
      <c r="F20" s="94">
        <v>7</v>
      </c>
      <c r="G20" s="66">
        <v>98.17</v>
      </c>
      <c r="H20" s="69">
        <v>115</v>
      </c>
      <c r="I20" s="67">
        <f t="shared" si="1"/>
        <v>16.829999999999998</v>
      </c>
    </row>
    <row r="21" spans="1:9" ht="15.75" x14ac:dyDescent="0.25">
      <c r="A21" s="89">
        <v>106</v>
      </c>
      <c r="B21" s="90">
        <v>101.87</v>
      </c>
      <c r="C21" s="92">
        <v>115</v>
      </c>
      <c r="D21" s="91">
        <f t="shared" si="0"/>
        <v>13.13</v>
      </c>
      <c r="E21" s="5"/>
      <c r="F21" s="94">
        <v>8</v>
      </c>
      <c r="G21" s="66">
        <v>98.17</v>
      </c>
      <c r="H21" s="69">
        <v>115</v>
      </c>
      <c r="I21" s="67">
        <f t="shared" si="1"/>
        <v>16.829999999999998</v>
      </c>
    </row>
    <row r="22" spans="1:9" ht="15.75" x14ac:dyDescent="0.25">
      <c r="A22" s="89">
        <v>107</v>
      </c>
      <c r="B22" s="90">
        <v>101.87</v>
      </c>
      <c r="C22" s="92">
        <v>115</v>
      </c>
      <c r="D22" s="91">
        <f t="shared" si="0"/>
        <v>13.13</v>
      </c>
      <c r="E22" s="5"/>
      <c r="F22" s="94">
        <v>9</v>
      </c>
      <c r="G22" s="66">
        <v>101.87</v>
      </c>
      <c r="H22" s="69">
        <v>115</v>
      </c>
      <c r="I22" s="67">
        <f t="shared" si="1"/>
        <v>13.13</v>
      </c>
    </row>
    <row r="23" spans="1:9" ht="15.75" x14ac:dyDescent="0.25">
      <c r="A23" s="89">
        <v>108</v>
      </c>
      <c r="B23" s="90">
        <v>98.17</v>
      </c>
      <c r="C23" s="92">
        <v>115</v>
      </c>
      <c r="D23" s="91">
        <f t="shared" si="0"/>
        <v>16.829999999999998</v>
      </c>
      <c r="E23" s="5"/>
      <c r="F23" s="94">
        <v>10</v>
      </c>
      <c r="G23" s="66">
        <v>98.17</v>
      </c>
      <c r="H23" s="69">
        <v>115</v>
      </c>
      <c r="I23" s="67">
        <f t="shared" si="1"/>
        <v>16.829999999999998</v>
      </c>
    </row>
    <row r="24" spans="1:9" ht="15.75" x14ac:dyDescent="0.25">
      <c r="A24" s="89">
        <v>109</v>
      </c>
      <c r="B24" s="90">
        <v>98.17</v>
      </c>
      <c r="C24" s="92">
        <v>115</v>
      </c>
      <c r="D24" s="91">
        <f t="shared" si="0"/>
        <v>16.829999999999998</v>
      </c>
      <c r="E24" s="5"/>
      <c r="F24" s="94">
        <v>11</v>
      </c>
      <c r="G24" s="66">
        <v>98.17</v>
      </c>
      <c r="H24" s="69">
        <v>115</v>
      </c>
      <c r="I24" s="67">
        <f t="shared" si="1"/>
        <v>16.829999999999998</v>
      </c>
    </row>
    <row r="25" spans="1:9" ht="15.75" x14ac:dyDescent="0.25">
      <c r="A25" s="89">
        <v>110</v>
      </c>
      <c r="B25" s="90">
        <v>98.17</v>
      </c>
      <c r="C25" s="92">
        <v>115</v>
      </c>
      <c r="D25" s="91">
        <f t="shared" si="0"/>
        <v>16.829999999999998</v>
      </c>
      <c r="E25" s="5"/>
      <c r="F25" s="94">
        <v>12</v>
      </c>
      <c r="G25" s="66">
        <v>98.17</v>
      </c>
      <c r="H25" s="69">
        <v>115</v>
      </c>
      <c r="I25" s="67">
        <f t="shared" si="1"/>
        <v>16.829999999999998</v>
      </c>
    </row>
    <row r="26" spans="1:9" ht="15.75" x14ac:dyDescent="0.25">
      <c r="A26" s="89">
        <v>111</v>
      </c>
      <c r="B26" s="90">
        <v>101.87</v>
      </c>
      <c r="C26" s="92">
        <v>115</v>
      </c>
      <c r="D26" s="91">
        <f t="shared" si="0"/>
        <v>13.13</v>
      </c>
      <c r="E26" s="5"/>
      <c r="F26" s="94">
        <v>101</v>
      </c>
      <c r="G26" s="66">
        <v>101.87</v>
      </c>
      <c r="H26" s="69">
        <v>115</v>
      </c>
      <c r="I26" s="67">
        <f t="shared" si="1"/>
        <v>13.13</v>
      </c>
    </row>
    <row r="27" spans="1:9" ht="15.75" x14ac:dyDescent="0.25">
      <c r="A27" s="89">
        <v>112</v>
      </c>
      <c r="B27" s="90">
        <v>101.87</v>
      </c>
      <c r="C27" s="92">
        <v>115</v>
      </c>
      <c r="D27" s="91">
        <f t="shared" si="0"/>
        <v>13.13</v>
      </c>
      <c r="E27" s="5"/>
      <c r="F27" s="94">
        <v>102</v>
      </c>
      <c r="G27" s="66">
        <v>98.17</v>
      </c>
      <c r="H27" s="69">
        <v>115</v>
      </c>
      <c r="I27" s="67">
        <f t="shared" si="1"/>
        <v>16.829999999999998</v>
      </c>
    </row>
    <row r="28" spans="1:9" ht="15.75" x14ac:dyDescent="0.25">
      <c r="A28" s="89">
        <v>113</v>
      </c>
      <c r="B28" s="90">
        <v>101.87</v>
      </c>
      <c r="C28" s="92">
        <v>115</v>
      </c>
      <c r="D28" s="91">
        <f t="shared" si="0"/>
        <v>13.13</v>
      </c>
      <c r="E28" s="5"/>
      <c r="F28" s="94">
        <v>103</v>
      </c>
      <c r="G28" s="66">
        <v>101.87</v>
      </c>
      <c r="H28" s="69">
        <v>115</v>
      </c>
      <c r="I28" s="67">
        <f t="shared" si="1"/>
        <v>13.13</v>
      </c>
    </row>
    <row r="29" spans="1:9" ht="15.75" x14ac:dyDescent="0.25">
      <c r="A29" s="89">
        <v>114</v>
      </c>
      <c r="B29" s="90">
        <v>101.87</v>
      </c>
      <c r="C29" s="92">
        <v>115</v>
      </c>
      <c r="D29" s="91">
        <f t="shared" si="0"/>
        <v>13.13</v>
      </c>
      <c r="E29" s="5"/>
      <c r="F29" s="94">
        <v>104</v>
      </c>
      <c r="G29" s="66">
        <v>101.87</v>
      </c>
      <c r="H29" s="69">
        <v>115</v>
      </c>
      <c r="I29" s="67">
        <f t="shared" si="1"/>
        <v>13.13</v>
      </c>
    </row>
    <row r="30" spans="1:9" ht="15.75" x14ac:dyDescent="0.25">
      <c r="A30" s="89">
        <v>201</v>
      </c>
      <c r="B30" s="90">
        <v>98.17</v>
      </c>
      <c r="C30" s="92">
        <v>115</v>
      </c>
      <c r="D30" s="91">
        <f t="shared" si="0"/>
        <v>16.829999999999998</v>
      </c>
      <c r="E30" s="5"/>
      <c r="F30" s="94">
        <v>105</v>
      </c>
      <c r="G30" s="66">
        <v>98.17</v>
      </c>
      <c r="H30" s="69">
        <v>115</v>
      </c>
      <c r="I30" s="67">
        <f t="shared" si="1"/>
        <v>16.829999999999998</v>
      </c>
    </row>
    <row r="31" spans="1:9" ht="15.75" x14ac:dyDescent="0.25">
      <c r="A31" s="89">
        <v>202</v>
      </c>
      <c r="B31" s="90">
        <v>101.87</v>
      </c>
      <c r="C31" s="92">
        <v>115</v>
      </c>
      <c r="D31" s="91">
        <f t="shared" si="0"/>
        <v>13.13</v>
      </c>
      <c r="E31" s="5"/>
      <c r="F31" s="94">
        <v>106</v>
      </c>
      <c r="G31" s="66">
        <v>98.17</v>
      </c>
      <c r="H31" s="69">
        <v>115</v>
      </c>
      <c r="I31" s="67">
        <f t="shared" si="1"/>
        <v>16.829999999999998</v>
      </c>
    </row>
    <row r="32" spans="1:9" ht="15.75" x14ac:dyDescent="0.25">
      <c r="A32" s="89">
        <v>203</v>
      </c>
      <c r="B32" s="90">
        <v>98.17</v>
      </c>
      <c r="C32" s="92">
        <v>115</v>
      </c>
      <c r="D32" s="91">
        <f t="shared" si="0"/>
        <v>16.829999999999998</v>
      </c>
      <c r="E32" s="5"/>
      <c r="F32" s="94">
        <v>107</v>
      </c>
      <c r="G32" s="66">
        <v>98.17</v>
      </c>
      <c r="H32" s="69">
        <v>115</v>
      </c>
      <c r="I32" s="67">
        <f t="shared" si="1"/>
        <v>16.829999999999998</v>
      </c>
    </row>
    <row r="33" spans="1:9" ht="15.75" x14ac:dyDescent="0.25">
      <c r="A33" s="89">
        <v>204</v>
      </c>
      <c r="B33" s="90">
        <v>101.87</v>
      </c>
      <c r="C33" s="92">
        <v>115</v>
      </c>
      <c r="D33" s="91">
        <f t="shared" si="0"/>
        <v>13.13</v>
      </c>
      <c r="E33" s="5"/>
      <c r="F33" s="94">
        <v>108</v>
      </c>
      <c r="G33" s="66">
        <v>98.17</v>
      </c>
      <c r="H33" s="69">
        <v>115</v>
      </c>
      <c r="I33" s="67">
        <f t="shared" si="1"/>
        <v>16.829999999999998</v>
      </c>
    </row>
    <row r="34" spans="1:9" ht="15.75" x14ac:dyDescent="0.25">
      <c r="A34" s="89">
        <v>205</v>
      </c>
      <c r="B34" s="90">
        <v>98.17</v>
      </c>
      <c r="C34" s="92">
        <v>115</v>
      </c>
      <c r="D34" s="91">
        <f t="shared" si="0"/>
        <v>16.829999999999998</v>
      </c>
      <c r="E34" s="5"/>
      <c r="F34" s="94">
        <v>109</v>
      </c>
      <c r="G34" s="66">
        <v>98.17</v>
      </c>
      <c r="H34" s="69">
        <v>115</v>
      </c>
      <c r="I34" s="67">
        <f t="shared" si="1"/>
        <v>16.829999999999998</v>
      </c>
    </row>
    <row r="35" spans="1:9" ht="15.75" x14ac:dyDescent="0.25">
      <c r="A35" s="89">
        <v>206</v>
      </c>
      <c r="B35" s="90">
        <v>101.87</v>
      </c>
      <c r="C35" s="92">
        <v>115</v>
      </c>
      <c r="D35" s="91">
        <f t="shared" si="0"/>
        <v>13.13</v>
      </c>
      <c r="E35" s="5"/>
      <c r="F35" s="94">
        <v>110</v>
      </c>
      <c r="G35" s="66">
        <v>98.17</v>
      </c>
      <c r="H35" s="69">
        <v>115</v>
      </c>
      <c r="I35" s="67">
        <f t="shared" si="1"/>
        <v>16.829999999999998</v>
      </c>
    </row>
    <row r="36" spans="1:9" ht="15.75" x14ac:dyDescent="0.25">
      <c r="A36" s="89">
        <v>207</v>
      </c>
      <c r="B36" s="90">
        <v>98.17</v>
      </c>
      <c r="C36" s="92">
        <v>115</v>
      </c>
      <c r="D36" s="91">
        <f t="shared" si="0"/>
        <v>16.829999999999998</v>
      </c>
      <c r="E36" s="5"/>
      <c r="F36" s="94">
        <v>111</v>
      </c>
      <c r="G36" s="66">
        <v>98.17</v>
      </c>
      <c r="H36" s="69">
        <v>115</v>
      </c>
      <c r="I36" s="67">
        <f t="shared" si="1"/>
        <v>16.829999999999998</v>
      </c>
    </row>
    <row r="37" spans="1:9" ht="15.75" x14ac:dyDescent="0.25">
      <c r="A37" s="89">
        <v>208</v>
      </c>
      <c r="B37" s="90">
        <v>98</v>
      </c>
      <c r="C37" s="92">
        <v>115</v>
      </c>
      <c r="D37" s="91">
        <f t="shared" si="0"/>
        <v>17</v>
      </c>
      <c r="E37" s="5"/>
      <c r="F37" s="94">
        <v>112</v>
      </c>
      <c r="G37" s="66">
        <v>101.87</v>
      </c>
      <c r="H37" s="69">
        <v>115</v>
      </c>
      <c r="I37" s="67">
        <f t="shared" si="1"/>
        <v>13.13</v>
      </c>
    </row>
    <row r="38" spans="1:9" ht="15.75" x14ac:dyDescent="0.25">
      <c r="A38" s="89">
        <v>209</v>
      </c>
      <c r="B38" s="90">
        <v>101.87</v>
      </c>
      <c r="C38" s="92">
        <v>115</v>
      </c>
      <c r="D38" s="91">
        <f t="shared" si="0"/>
        <v>13.13</v>
      </c>
      <c r="E38" s="5"/>
      <c r="F38" s="94">
        <v>201</v>
      </c>
      <c r="G38" s="66">
        <v>101.87</v>
      </c>
      <c r="H38" s="69">
        <v>115</v>
      </c>
      <c r="I38" s="67">
        <f t="shared" si="1"/>
        <v>13.13</v>
      </c>
    </row>
    <row r="39" spans="1:9" ht="15.75" x14ac:dyDescent="0.25">
      <c r="A39" s="89">
        <v>210</v>
      </c>
      <c r="B39" s="90">
        <v>98.17</v>
      </c>
      <c r="C39" s="92">
        <v>115</v>
      </c>
      <c r="D39" s="91">
        <f t="shared" si="0"/>
        <v>16.829999999999998</v>
      </c>
      <c r="E39" s="5"/>
      <c r="F39" s="94">
        <v>202</v>
      </c>
      <c r="G39" s="66">
        <v>101.87</v>
      </c>
      <c r="H39" s="69">
        <v>115</v>
      </c>
      <c r="I39" s="67">
        <f t="shared" si="1"/>
        <v>13.13</v>
      </c>
    </row>
    <row r="40" spans="1:9" ht="15.75" x14ac:dyDescent="0.25">
      <c r="A40" s="89">
        <v>211</v>
      </c>
      <c r="B40" s="90">
        <v>101.87</v>
      </c>
      <c r="C40" s="92">
        <v>115</v>
      </c>
      <c r="D40" s="91">
        <f t="shared" si="0"/>
        <v>13.13</v>
      </c>
      <c r="E40" s="5"/>
      <c r="F40" s="94">
        <v>203</v>
      </c>
      <c r="G40" s="66">
        <v>98.17</v>
      </c>
      <c r="H40" s="69">
        <v>115</v>
      </c>
      <c r="I40" s="67">
        <f t="shared" si="1"/>
        <v>16.829999999999998</v>
      </c>
    </row>
    <row r="41" spans="1:9" ht="15.75" x14ac:dyDescent="0.25">
      <c r="A41" s="89">
        <v>212</v>
      </c>
      <c r="B41" s="90">
        <v>101.87</v>
      </c>
      <c r="C41" s="92">
        <v>115</v>
      </c>
      <c r="D41" s="91">
        <f t="shared" si="0"/>
        <v>13.13</v>
      </c>
      <c r="E41" s="5"/>
      <c r="F41" s="94">
        <v>204</v>
      </c>
      <c r="G41" s="66">
        <v>98.17</v>
      </c>
      <c r="H41" s="69">
        <v>115</v>
      </c>
      <c r="I41" s="67">
        <f t="shared" si="1"/>
        <v>16.829999999999998</v>
      </c>
    </row>
    <row r="42" spans="1:9" ht="15.75" x14ac:dyDescent="0.25">
      <c r="A42" s="89">
        <v>213</v>
      </c>
      <c r="B42" s="90">
        <v>101.87</v>
      </c>
      <c r="C42" s="92">
        <v>115</v>
      </c>
      <c r="D42" s="91">
        <f t="shared" si="0"/>
        <v>13.13</v>
      </c>
      <c r="E42" s="5"/>
      <c r="F42" s="94">
        <v>205</v>
      </c>
      <c r="G42" s="66">
        <v>98.17</v>
      </c>
      <c r="H42" s="69">
        <v>115</v>
      </c>
      <c r="I42" s="67">
        <f t="shared" si="1"/>
        <v>16.829999999999998</v>
      </c>
    </row>
    <row r="43" spans="1:9" ht="15.75" x14ac:dyDescent="0.25">
      <c r="A43" s="89">
        <v>214</v>
      </c>
      <c r="B43" s="90">
        <v>98.17</v>
      </c>
      <c r="C43" s="92">
        <v>115</v>
      </c>
      <c r="D43" s="91">
        <f t="shared" si="0"/>
        <v>16.829999999999998</v>
      </c>
      <c r="E43" s="5"/>
      <c r="F43" s="94">
        <v>206</v>
      </c>
      <c r="G43" s="66">
        <v>101.87</v>
      </c>
      <c r="H43" s="69">
        <v>115</v>
      </c>
      <c r="I43" s="67">
        <f t="shared" si="1"/>
        <v>13.13</v>
      </c>
    </row>
    <row r="44" spans="1:9" ht="15.75" x14ac:dyDescent="0.25">
      <c r="A44" s="44"/>
      <c r="B44" s="1"/>
      <c r="C44" s="2"/>
      <c r="D44" s="5"/>
      <c r="E44" s="5"/>
      <c r="F44" s="94">
        <v>207</v>
      </c>
      <c r="G44" s="66">
        <v>101.87</v>
      </c>
      <c r="H44" s="69">
        <v>115</v>
      </c>
      <c r="I44" s="67">
        <f t="shared" si="1"/>
        <v>13.13</v>
      </c>
    </row>
    <row r="45" spans="1:9" ht="15.75" x14ac:dyDescent="0.25">
      <c r="E45" s="5"/>
      <c r="F45" s="94">
        <v>208</v>
      </c>
      <c r="G45" s="66">
        <v>98.17</v>
      </c>
      <c r="H45" s="69">
        <v>115</v>
      </c>
      <c r="I45" s="67">
        <f t="shared" si="1"/>
        <v>16.829999999999998</v>
      </c>
    </row>
    <row r="46" spans="1:9" ht="15.75" x14ac:dyDescent="0.25">
      <c r="E46" s="5"/>
      <c r="F46" s="94">
        <v>209</v>
      </c>
      <c r="G46" s="66">
        <v>98.17</v>
      </c>
      <c r="H46" s="69">
        <v>115</v>
      </c>
      <c r="I46" s="67">
        <f t="shared" si="1"/>
        <v>16.829999999999998</v>
      </c>
    </row>
    <row r="47" spans="1:9" ht="15.75" x14ac:dyDescent="0.25">
      <c r="E47" s="5"/>
      <c r="F47" s="94">
        <v>210</v>
      </c>
      <c r="G47" s="66">
        <v>98.17</v>
      </c>
      <c r="H47" s="69">
        <v>115</v>
      </c>
      <c r="I47" s="67">
        <f t="shared" si="1"/>
        <v>16.829999999999998</v>
      </c>
    </row>
    <row r="48" spans="1:9" ht="15.75" x14ac:dyDescent="0.25">
      <c r="E48" s="5"/>
      <c r="F48" s="94">
        <v>211</v>
      </c>
      <c r="G48" s="66">
        <v>101.87</v>
      </c>
      <c r="H48" s="69">
        <v>115</v>
      </c>
      <c r="I48" s="67">
        <f t="shared" si="1"/>
        <v>13.13</v>
      </c>
    </row>
    <row r="49" spans="1:9" ht="15.75" x14ac:dyDescent="0.25">
      <c r="E49" s="5"/>
      <c r="F49" s="94">
        <v>212</v>
      </c>
      <c r="G49" s="66">
        <v>101.87</v>
      </c>
      <c r="H49" s="69">
        <v>115</v>
      </c>
      <c r="I49" s="67">
        <f t="shared" si="1"/>
        <v>13.13</v>
      </c>
    </row>
    <row r="50" spans="1:9" x14ac:dyDescent="0.2">
      <c r="E50" s="5"/>
    </row>
    <row r="51" spans="1:9" x14ac:dyDescent="0.2">
      <c r="E51" s="5"/>
    </row>
    <row r="52" spans="1:9" x14ac:dyDescent="0.2">
      <c r="E52" s="5"/>
    </row>
    <row r="53" spans="1:9" x14ac:dyDescent="0.2">
      <c r="E53" s="5"/>
    </row>
    <row r="54" spans="1:9" x14ac:dyDescent="0.2">
      <c r="E54" s="5"/>
    </row>
    <row r="55" spans="1:9" x14ac:dyDescent="0.2">
      <c r="E55" s="5"/>
    </row>
    <row r="56" spans="1:9" x14ac:dyDescent="0.2">
      <c r="E56" s="5"/>
    </row>
    <row r="57" spans="1:9" x14ac:dyDescent="0.2">
      <c r="E57" s="5"/>
    </row>
    <row r="58" spans="1:9" ht="18" x14ac:dyDescent="0.25">
      <c r="A58" s="86" t="s">
        <v>371</v>
      </c>
      <c r="C58"/>
    </row>
    <row r="59" spans="1:9" ht="47.25" x14ac:dyDescent="0.2">
      <c r="A59" s="85" t="s">
        <v>0</v>
      </c>
      <c r="B59" s="31" t="s">
        <v>300</v>
      </c>
      <c r="C59" s="40" t="s">
        <v>360</v>
      </c>
      <c r="D59" s="31" t="s">
        <v>336</v>
      </c>
      <c r="E59" s="41"/>
      <c r="F59" s="85" t="s">
        <v>0</v>
      </c>
      <c r="G59" s="31" t="s">
        <v>300</v>
      </c>
      <c r="H59" s="40" t="s">
        <v>360</v>
      </c>
      <c r="I59" s="31" t="s">
        <v>336</v>
      </c>
    </row>
    <row r="60" spans="1:9" ht="15.75" x14ac:dyDescent="0.2">
      <c r="A60" s="88"/>
      <c r="B60" s="41"/>
      <c r="C60" s="42"/>
      <c r="D60" s="41"/>
      <c r="E60" s="41"/>
      <c r="F60" s="88"/>
      <c r="G60" s="41"/>
      <c r="H60" s="42"/>
      <c r="I60" s="41"/>
    </row>
    <row r="61" spans="1:9" ht="15.75" x14ac:dyDescent="0.25">
      <c r="A61" s="95" t="s">
        <v>317</v>
      </c>
      <c r="B61" s="1"/>
      <c r="C61" s="2"/>
      <c r="D61" s="5"/>
      <c r="E61" s="5"/>
      <c r="F61" s="95" t="s">
        <v>317</v>
      </c>
    </row>
    <row r="62" spans="1:9" ht="15.75" x14ac:dyDescent="0.25">
      <c r="A62" s="95">
        <v>1</v>
      </c>
      <c r="B62" s="71">
        <v>98.17</v>
      </c>
      <c r="C62" s="73">
        <v>115</v>
      </c>
      <c r="D62" s="72">
        <f t="shared" ref="D62:D101" si="2">SUM(C62-B62)</f>
        <v>16.829999999999998</v>
      </c>
      <c r="E62" s="5"/>
      <c r="F62" s="95">
        <v>201</v>
      </c>
      <c r="G62" s="71">
        <v>98.17</v>
      </c>
      <c r="H62" s="73">
        <v>115</v>
      </c>
      <c r="I62" s="72">
        <f t="shared" ref="I62:I81" si="3">SUM(H62-G62)</f>
        <v>16.829999999999998</v>
      </c>
    </row>
    <row r="63" spans="1:9" ht="15.75" x14ac:dyDescent="0.25">
      <c r="A63" s="95">
        <v>2</v>
      </c>
      <c r="B63" s="71">
        <v>98</v>
      </c>
      <c r="C63" s="73">
        <v>115</v>
      </c>
      <c r="D63" s="72">
        <f t="shared" si="2"/>
        <v>17</v>
      </c>
      <c r="E63" s="5"/>
      <c r="F63" s="95">
        <v>202</v>
      </c>
      <c r="G63" s="71">
        <v>98.17</v>
      </c>
      <c r="H63" s="73">
        <v>115</v>
      </c>
      <c r="I63" s="72">
        <f t="shared" si="3"/>
        <v>16.829999999999998</v>
      </c>
    </row>
    <row r="64" spans="1:9" ht="15.75" x14ac:dyDescent="0.25">
      <c r="A64" s="95">
        <v>3</v>
      </c>
      <c r="B64" s="71">
        <v>98.17</v>
      </c>
      <c r="C64" s="73">
        <v>115</v>
      </c>
      <c r="D64" s="72">
        <f t="shared" si="2"/>
        <v>16.829999999999998</v>
      </c>
      <c r="E64" s="5"/>
      <c r="F64" s="95">
        <v>203</v>
      </c>
      <c r="G64" s="71">
        <v>98.17</v>
      </c>
      <c r="H64" s="73">
        <v>115</v>
      </c>
      <c r="I64" s="72">
        <f t="shared" si="3"/>
        <v>16.829999999999998</v>
      </c>
    </row>
    <row r="65" spans="1:9" ht="15.75" x14ac:dyDescent="0.25">
      <c r="A65" s="95">
        <v>4</v>
      </c>
      <c r="B65" s="71">
        <v>98.17</v>
      </c>
      <c r="C65" s="73">
        <v>115</v>
      </c>
      <c r="D65" s="72">
        <f t="shared" si="2"/>
        <v>16.829999999999998</v>
      </c>
      <c r="E65" s="5"/>
      <c r="F65" s="95">
        <v>204</v>
      </c>
      <c r="G65" s="71">
        <v>101.87</v>
      </c>
      <c r="H65" s="73">
        <v>115</v>
      </c>
      <c r="I65" s="72">
        <f t="shared" si="3"/>
        <v>13.13</v>
      </c>
    </row>
    <row r="66" spans="1:9" ht="15.75" x14ac:dyDescent="0.25">
      <c r="A66" s="95">
        <v>5</v>
      </c>
      <c r="B66" s="71">
        <v>101.87</v>
      </c>
      <c r="C66" s="73">
        <v>115</v>
      </c>
      <c r="D66" s="72">
        <f t="shared" si="2"/>
        <v>13.13</v>
      </c>
      <c r="E66" s="5"/>
      <c r="F66" s="95">
        <v>205</v>
      </c>
      <c r="G66" s="71">
        <v>101.87</v>
      </c>
      <c r="H66" s="73">
        <v>115</v>
      </c>
      <c r="I66" s="72">
        <f t="shared" si="3"/>
        <v>13.13</v>
      </c>
    </row>
    <row r="67" spans="1:9" ht="15.75" x14ac:dyDescent="0.25">
      <c r="A67" s="95">
        <v>6</v>
      </c>
      <c r="B67" s="71">
        <v>101.87</v>
      </c>
      <c r="C67" s="73">
        <v>115</v>
      </c>
      <c r="D67" s="72">
        <f t="shared" si="2"/>
        <v>13.13</v>
      </c>
      <c r="E67" s="5"/>
      <c r="F67" s="95">
        <v>206</v>
      </c>
      <c r="G67" s="71">
        <v>98.17</v>
      </c>
      <c r="H67" s="73">
        <v>115</v>
      </c>
      <c r="I67" s="72">
        <f t="shared" si="3"/>
        <v>16.829999999999998</v>
      </c>
    </row>
    <row r="68" spans="1:9" ht="15.75" x14ac:dyDescent="0.25">
      <c r="A68" s="95">
        <v>7</v>
      </c>
      <c r="B68" s="71">
        <v>98.17</v>
      </c>
      <c r="C68" s="73">
        <v>115</v>
      </c>
      <c r="D68" s="72">
        <f t="shared" si="2"/>
        <v>16.829999999999998</v>
      </c>
      <c r="E68" s="5"/>
      <c r="F68" s="95">
        <v>207</v>
      </c>
      <c r="G68" s="71">
        <v>98.17</v>
      </c>
      <c r="H68" s="73">
        <v>115</v>
      </c>
      <c r="I68" s="72">
        <f t="shared" si="3"/>
        <v>16.829999999999998</v>
      </c>
    </row>
    <row r="69" spans="1:9" ht="15.75" x14ac:dyDescent="0.25">
      <c r="A69" s="95">
        <v>8</v>
      </c>
      <c r="B69" s="71">
        <v>101.87</v>
      </c>
      <c r="C69" s="73">
        <v>115</v>
      </c>
      <c r="D69" s="72">
        <f t="shared" si="2"/>
        <v>13.13</v>
      </c>
      <c r="E69" s="5"/>
      <c r="F69" s="95">
        <v>208</v>
      </c>
      <c r="G69" s="71">
        <v>98.17</v>
      </c>
      <c r="H69" s="73">
        <v>115</v>
      </c>
      <c r="I69" s="72">
        <f t="shared" si="3"/>
        <v>16.829999999999998</v>
      </c>
    </row>
    <row r="70" spans="1:9" ht="15.75" x14ac:dyDescent="0.25">
      <c r="A70" s="95">
        <v>9</v>
      </c>
      <c r="B70" s="71">
        <v>98.17</v>
      </c>
      <c r="C70" s="73">
        <v>115</v>
      </c>
      <c r="D70" s="72">
        <f t="shared" si="2"/>
        <v>16.829999999999998</v>
      </c>
      <c r="E70" s="5"/>
      <c r="F70" s="95">
        <v>209</v>
      </c>
      <c r="G70" s="71">
        <v>101.87</v>
      </c>
      <c r="H70" s="73">
        <v>115</v>
      </c>
      <c r="I70" s="72">
        <f t="shared" si="3"/>
        <v>13.13</v>
      </c>
    </row>
    <row r="71" spans="1:9" ht="15.75" x14ac:dyDescent="0.25">
      <c r="A71" s="95">
        <v>10</v>
      </c>
      <c r="B71" s="71">
        <v>101.87</v>
      </c>
      <c r="C71" s="73">
        <v>115</v>
      </c>
      <c r="D71" s="72">
        <f t="shared" si="2"/>
        <v>13.13</v>
      </c>
      <c r="E71" s="5"/>
      <c r="F71" s="95">
        <v>210</v>
      </c>
      <c r="G71" s="71">
        <v>101.87</v>
      </c>
      <c r="H71" s="73">
        <v>115</v>
      </c>
      <c r="I71" s="72">
        <f t="shared" si="3"/>
        <v>13.13</v>
      </c>
    </row>
    <row r="72" spans="1:9" ht="15.75" x14ac:dyDescent="0.25">
      <c r="A72" s="95">
        <v>11</v>
      </c>
      <c r="B72" s="71">
        <v>98.17</v>
      </c>
      <c r="C72" s="73">
        <v>115</v>
      </c>
      <c r="D72" s="72">
        <f t="shared" si="2"/>
        <v>16.829999999999998</v>
      </c>
      <c r="E72" s="5"/>
      <c r="F72" s="95">
        <v>211</v>
      </c>
      <c r="G72" s="71">
        <v>98.17</v>
      </c>
      <c r="H72" s="73">
        <v>115</v>
      </c>
      <c r="I72" s="72">
        <f t="shared" si="3"/>
        <v>16.829999999999998</v>
      </c>
    </row>
    <row r="73" spans="1:9" ht="15.75" x14ac:dyDescent="0.25">
      <c r="A73" s="95">
        <v>12</v>
      </c>
      <c r="B73" s="71">
        <v>98.17</v>
      </c>
      <c r="C73" s="73">
        <v>115</v>
      </c>
      <c r="D73" s="72">
        <f t="shared" si="2"/>
        <v>16.829999999999998</v>
      </c>
      <c r="E73" s="5"/>
      <c r="F73" s="95">
        <v>212</v>
      </c>
      <c r="G73" s="71">
        <v>98.17</v>
      </c>
      <c r="H73" s="73">
        <v>115</v>
      </c>
      <c r="I73" s="72">
        <f t="shared" si="3"/>
        <v>16.829999999999998</v>
      </c>
    </row>
    <row r="74" spans="1:9" ht="15.75" x14ac:dyDescent="0.25">
      <c r="A74" s="95">
        <v>13</v>
      </c>
      <c r="B74" s="71">
        <v>98.17</v>
      </c>
      <c r="C74" s="73">
        <v>115</v>
      </c>
      <c r="D74" s="72">
        <f t="shared" si="2"/>
        <v>16.829999999999998</v>
      </c>
      <c r="E74" s="5"/>
      <c r="F74" s="95">
        <v>213</v>
      </c>
      <c r="G74" s="71">
        <v>101.87</v>
      </c>
      <c r="H74" s="73">
        <v>115</v>
      </c>
      <c r="I74" s="72">
        <f t="shared" si="3"/>
        <v>13.13</v>
      </c>
    </row>
    <row r="75" spans="1:9" ht="15.75" x14ac:dyDescent="0.25">
      <c r="A75" s="95">
        <v>14</v>
      </c>
      <c r="B75" s="71">
        <v>98.17</v>
      </c>
      <c r="C75" s="73">
        <v>115</v>
      </c>
      <c r="D75" s="72">
        <f t="shared" si="2"/>
        <v>16.829999999999998</v>
      </c>
      <c r="E75" s="5"/>
      <c r="F75" s="95">
        <v>214</v>
      </c>
      <c r="G75" s="71">
        <v>98.17</v>
      </c>
      <c r="H75" s="73">
        <v>115</v>
      </c>
      <c r="I75" s="72">
        <f t="shared" si="3"/>
        <v>16.829999999999998</v>
      </c>
    </row>
    <row r="76" spans="1:9" ht="15.75" x14ac:dyDescent="0.25">
      <c r="A76" s="95">
        <v>15</v>
      </c>
      <c r="B76" s="71">
        <v>98.17</v>
      </c>
      <c r="C76" s="73">
        <v>115</v>
      </c>
      <c r="D76" s="72">
        <f t="shared" si="2"/>
        <v>16.829999999999998</v>
      </c>
      <c r="E76" s="5"/>
      <c r="F76" s="95">
        <v>215</v>
      </c>
      <c r="G76" s="71">
        <v>98.17</v>
      </c>
      <c r="H76" s="73">
        <v>115</v>
      </c>
      <c r="I76" s="72">
        <f t="shared" si="3"/>
        <v>16.829999999999998</v>
      </c>
    </row>
    <row r="77" spans="1:9" ht="15.75" x14ac:dyDescent="0.25">
      <c r="A77" s="95">
        <v>16</v>
      </c>
      <c r="B77" s="71">
        <v>101.87</v>
      </c>
      <c r="C77" s="73">
        <v>115</v>
      </c>
      <c r="D77" s="72">
        <f t="shared" si="2"/>
        <v>13.13</v>
      </c>
      <c r="E77" s="5"/>
      <c r="F77" s="95">
        <v>216</v>
      </c>
      <c r="G77" s="71">
        <v>101.87</v>
      </c>
      <c r="H77" s="73">
        <v>115</v>
      </c>
      <c r="I77" s="72">
        <f t="shared" si="3"/>
        <v>13.13</v>
      </c>
    </row>
    <row r="78" spans="1:9" ht="15.75" x14ac:dyDescent="0.25">
      <c r="A78" s="95">
        <v>17</v>
      </c>
      <c r="B78" s="71">
        <v>98.17</v>
      </c>
      <c r="C78" s="73">
        <v>115</v>
      </c>
      <c r="D78" s="72">
        <f t="shared" si="2"/>
        <v>16.829999999999998</v>
      </c>
      <c r="E78" s="5"/>
      <c r="F78" s="95">
        <v>217</v>
      </c>
      <c r="G78" s="71">
        <v>98.17</v>
      </c>
      <c r="H78" s="73">
        <v>115</v>
      </c>
      <c r="I78" s="72">
        <f t="shared" si="3"/>
        <v>16.829999999999998</v>
      </c>
    </row>
    <row r="79" spans="1:9" ht="15.75" x14ac:dyDescent="0.25">
      <c r="A79" s="95">
        <v>18</v>
      </c>
      <c r="B79" s="71">
        <v>98.17</v>
      </c>
      <c r="C79" s="73">
        <v>115</v>
      </c>
      <c r="D79" s="72">
        <f t="shared" si="2"/>
        <v>16.829999999999998</v>
      </c>
      <c r="E79" s="5"/>
      <c r="F79" s="95">
        <v>218</v>
      </c>
      <c r="G79" s="71">
        <v>98.17</v>
      </c>
      <c r="H79" s="73">
        <v>115</v>
      </c>
      <c r="I79" s="72">
        <f t="shared" si="3"/>
        <v>16.829999999999998</v>
      </c>
    </row>
    <row r="80" spans="1:9" ht="15.75" x14ac:dyDescent="0.25">
      <c r="A80" s="95">
        <v>19</v>
      </c>
      <c r="B80" s="71">
        <v>98.17</v>
      </c>
      <c r="C80" s="73">
        <v>115</v>
      </c>
      <c r="D80" s="72">
        <f t="shared" si="2"/>
        <v>16.829999999999998</v>
      </c>
      <c r="E80" s="5"/>
      <c r="F80" s="95">
        <v>219</v>
      </c>
      <c r="G80" s="71">
        <v>98.17</v>
      </c>
      <c r="H80" s="73">
        <v>115</v>
      </c>
      <c r="I80" s="72">
        <f t="shared" si="3"/>
        <v>16.829999999999998</v>
      </c>
    </row>
    <row r="81" spans="1:9" ht="15.75" x14ac:dyDescent="0.25">
      <c r="A81" s="95">
        <v>20</v>
      </c>
      <c r="B81" s="71">
        <v>101.87</v>
      </c>
      <c r="C81" s="73">
        <v>115</v>
      </c>
      <c r="D81" s="72">
        <f t="shared" si="2"/>
        <v>13.13</v>
      </c>
      <c r="E81" s="5"/>
      <c r="F81" s="95">
        <v>220</v>
      </c>
      <c r="G81" s="71">
        <v>98.17</v>
      </c>
      <c r="H81" s="73">
        <v>115</v>
      </c>
      <c r="I81" s="72">
        <f t="shared" si="3"/>
        <v>16.829999999999998</v>
      </c>
    </row>
    <row r="82" spans="1:9" ht="15.75" x14ac:dyDescent="0.25">
      <c r="A82" s="95">
        <v>101</v>
      </c>
      <c r="B82" s="71">
        <v>101.87</v>
      </c>
      <c r="C82" s="73">
        <v>115</v>
      </c>
      <c r="D82" s="72">
        <f t="shared" si="2"/>
        <v>13.13</v>
      </c>
      <c r="E82" s="5"/>
    </row>
    <row r="83" spans="1:9" ht="15.75" x14ac:dyDescent="0.25">
      <c r="A83" s="95">
        <v>102</v>
      </c>
      <c r="B83" s="71">
        <v>101.87</v>
      </c>
      <c r="C83" s="73">
        <v>115</v>
      </c>
      <c r="D83" s="72">
        <f t="shared" si="2"/>
        <v>13.13</v>
      </c>
      <c r="E83" s="5"/>
    </row>
    <row r="84" spans="1:9" ht="15.75" x14ac:dyDescent="0.25">
      <c r="A84" s="95">
        <v>103</v>
      </c>
      <c r="B84" s="71">
        <v>101.87</v>
      </c>
      <c r="C84" s="73">
        <v>115</v>
      </c>
      <c r="D84" s="72">
        <f t="shared" si="2"/>
        <v>13.13</v>
      </c>
      <c r="E84" s="5"/>
    </row>
    <row r="85" spans="1:9" ht="15.75" x14ac:dyDescent="0.25">
      <c r="A85" s="95">
        <v>104</v>
      </c>
      <c r="B85" s="71">
        <v>101.87</v>
      </c>
      <c r="C85" s="73">
        <v>115</v>
      </c>
      <c r="D85" s="72">
        <f t="shared" si="2"/>
        <v>13.13</v>
      </c>
      <c r="E85" s="5"/>
    </row>
    <row r="86" spans="1:9" ht="15.75" x14ac:dyDescent="0.25">
      <c r="A86" s="95">
        <v>105</v>
      </c>
      <c r="B86" s="71">
        <v>101.87</v>
      </c>
      <c r="C86" s="73">
        <v>115</v>
      </c>
      <c r="D86" s="72">
        <f t="shared" si="2"/>
        <v>13.13</v>
      </c>
      <c r="E86" s="5"/>
    </row>
    <row r="87" spans="1:9" ht="15.75" x14ac:dyDescent="0.25">
      <c r="A87" s="95">
        <v>106</v>
      </c>
      <c r="B87" s="71">
        <v>101.87</v>
      </c>
      <c r="C87" s="73">
        <v>115</v>
      </c>
      <c r="D87" s="72">
        <f t="shared" si="2"/>
        <v>13.13</v>
      </c>
      <c r="E87" s="5"/>
    </row>
    <row r="88" spans="1:9" ht="15.75" x14ac:dyDescent="0.25">
      <c r="A88" s="95">
        <v>107</v>
      </c>
      <c r="B88" s="71">
        <v>98.17</v>
      </c>
      <c r="C88" s="73">
        <v>115</v>
      </c>
      <c r="D88" s="72">
        <f t="shared" si="2"/>
        <v>16.829999999999998</v>
      </c>
      <c r="E88" s="5"/>
    </row>
    <row r="89" spans="1:9" ht="15.75" x14ac:dyDescent="0.25">
      <c r="A89" s="95">
        <v>108</v>
      </c>
      <c r="B89" s="71">
        <v>98.17</v>
      </c>
      <c r="C89" s="73">
        <v>115</v>
      </c>
      <c r="D89" s="72">
        <f t="shared" si="2"/>
        <v>16.829999999999998</v>
      </c>
      <c r="E89" s="5"/>
    </row>
    <row r="90" spans="1:9" ht="15.75" x14ac:dyDescent="0.25">
      <c r="A90" s="95">
        <v>109</v>
      </c>
      <c r="B90" s="71">
        <v>98.17</v>
      </c>
      <c r="C90" s="73">
        <v>115</v>
      </c>
      <c r="D90" s="72">
        <f t="shared" si="2"/>
        <v>16.829999999999998</v>
      </c>
      <c r="E90" s="5"/>
    </row>
    <row r="91" spans="1:9" ht="15.75" x14ac:dyDescent="0.25">
      <c r="A91" s="95">
        <v>110</v>
      </c>
      <c r="B91" s="71">
        <v>101.87</v>
      </c>
      <c r="C91" s="73">
        <v>115</v>
      </c>
      <c r="D91" s="72">
        <f t="shared" si="2"/>
        <v>13.13</v>
      </c>
      <c r="E91" s="5"/>
    </row>
    <row r="92" spans="1:9" ht="15.75" x14ac:dyDescent="0.25">
      <c r="A92" s="95">
        <v>111</v>
      </c>
      <c r="B92" s="71">
        <v>98.17</v>
      </c>
      <c r="C92" s="73">
        <v>115</v>
      </c>
      <c r="D92" s="72">
        <f t="shared" si="2"/>
        <v>16.829999999999998</v>
      </c>
      <c r="E92" s="5"/>
    </row>
    <row r="93" spans="1:9" ht="15.75" x14ac:dyDescent="0.25">
      <c r="A93" s="95">
        <v>112</v>
      </c>
      <c r="B93" s="71">
        <v>98.17</v>
      </c>
      <c r="C93" s="73">
        <v>115</v>
      </c>
      <c r="D93" s="72">
        <f t="shared" si="2"/>
        <v>16.829999999999998</v>
      </c>
      <c r="E93" s="5"/>
    </row>
    <row r="94" spans="1:9" ht="15.75" x14ac:dyDescent="0.25">
      <c r="A94" s="95">
        <v>113</v>
      </c>
      <c r="B94" s="71">
        <v>98.17</v>
      </c>
      <c r="C94" s="73">
        <v>115</v>
      </c>
      <c r="D94" s="72">
        <f t="shared" si="2"/>
        <v>16.829999999999998</v>
      </c>
      <c r="E94" s="5"/>
    </row>
    <row r="95" spans="1:9" ht="15.75" x14ac:dyDescent="0.25">
      <c r="A95" s="95">
        <v>114</v>
      </c>
      <c r="B95" s="71">
        <v>98.17</v>
      </c>
      <c r="C95" s="73">
        <v>115</v>
      </c>
      <c r="D95" s="72">
        <f t="shared" si="2"/>
        <v>16.829999999999998</v>
      </c>
      <c r="E95" s="5"/>
    </row>
    <row r="96" spans="1:9" ht="15.75" x14ac:dyDescent="0.25">
      <c r="A96" s="95">
        <v>115</v>
      </c>
      <c r="B96" s="71">
        <v>101.87</v>
      </c>
      <c r="C96" s="73">
        <v>115</v>
      </c>
      <c r="D96" s="72">
        <f t="shared" si="2"/>
        <v>13.13</v>
      </c>
      <c r="E96" s="5"/>
    </row>
    <row r="97" spans="1:9" ht="15.75" x14ac:dyDescent="0.25">
      <c r="A97" s="95">
        <v>116</v>
      </c>
      <c r="B97" s="71">
        <v>101.87</v>
      </c>
      <c r="C97" s="73">
        <v>115</v>
      </c>
      <c r="D97" s="72">
        <f t="shared" si="2"/>
        <v>13.13</v>
      </c>
      <c r="E97" s="5"/>
    </row>
    <row r="98" spans="1:9" ht="15.75" x14ac:dyDescent="0.25">
      <c r="A98" s="95">
        <v>117</v>
      </c>
      <c r="B98" s="71">
        <v>101.87</v>
      </c>
      <c r="C98" s="73">
        <v>115</v>
      </c>
      <c r="D98" s="72">
        <f t="shared" si="2"/>
        <v>13.13</v>
      </c>
      <c r="E98" s="5"/>
    </row>
    <row r="99" spans="1:9" ht="15.75" x14ac:dyDescent="0.25">
      <c r="A99" s="95">
        <v>118</v>
      </c>
      <c r="B99" s="71">
        <v>101.87</v>
      </c>
      <c r="C99" s="73">
        <v>115</v>
      </c>
      <c r="D99" s="72">
        <f t="shared" si="2"/>
        <v>13.13</v>
      </c>
      <c r="E99" s="5"/>
    </row>
    <row r="100" spans="1:9" ht="15.75" x14ac:dyDescent="0.25">
      <c r="A100" s="95">
        <v>119</v>
      </c>
      <c r="B100" s="71">
        <v>101.87</v>
      </c>
      <c r="C100" s="73">
        <v>115</v>
      </c>
      <c r="D100" s="72">
        <f t="shared" si="2"/>
        <v>13.13</v>
      </c>
      <c r="E100" s="5"/>
    </row>
    <row r="101" spans="1:9" ht="15.75" x14ac:dyDescent="0.25">
      <c r="A101" s="95">
        <v>120</v>
      </c>
      <c r="B101" s="71">
        <v>98.17</v>
      </c>
      <c r="C101" s="73">
        <v>115</v>
      </c>
      <c r="D101" s="72">
        <f t="shared" si="2"/>
        <v>16.829999999999998</v>
      </c>
      <c r="E101" s="5"/>
    </row>
    <row r="102" spans="1:9" x14ac:dyDescent="0.2">
      <c r="E102" s="5"/>
    </row>
    <row r="103" spans="1:9" x14ac:dyDescent="0.2">
      <c r="E103" s="5"/>
    </row>
    <row r="104" spans="1:9" x14ac:dyDescent="0.2">
      <c r="E104" s="5"/>
    </row>
    <row r="105" spans="1:9" ht="18" x14ac:dyDescent="0.25">
      <c r="A105" s="86" t="s">
        <v>372</v>
      </c>
      <c r="C105"/>
    </row>
    <row r="106" spans="1:9" ht="47.25" x14ac:dyDescent="0.2">
      <c r="A106" s="85" t="s">
        <v>0</v>
      </c>
      <c r="B106" s="31" t="s">
        <v>300</v>
      </c>
      <c r="C106" s="40" t="s">
        <v>360</v>
      </c>
      <c r="D106" s="31" t="s">
        <v>336</v>
      </c>
      <c r="E106" s="41"/>
      <c r="F106" s="88"/>
      <c r="G106" s="41"/>
      <c r="H106" s="42"/>
      <c r="I106" s="41"/>
    </row>
    <row r="107" spans="1:9" ht="15.75" x14ac:dyDescent="0.25">
      <c r="A107" s="44"/>
      <c r="B107" s="1"/>
      <c r="C107" s="2"/>
      <c r="D107" s="5"/>
      <c r="E107" s="5"/>
    </row>
    <row r="108" spans="1:9" ht="15.75" x14ac:dyDescent="0.25">
      <c r="A108" s="96" t="s">
        <v>318</v>
      </c>
      <c r="B108" s="1"/>
      <c r="C108" s="2"/>
      <c r="D108" s="5"/>
      <c r="E108" s="5"/>
    </row>
    <row r="109" spans="1:9" ht="15.75" x14ac:dyDescent="0.25">
      <c r="A109" s="96">
        <v>1</v>
      </c>
      <c r="B109" s="79">
        <v>101.87</v>
      </c>
      <c r="C109" s="82">
        <v>115</v>
      </c>
      <c r="D109" s="80">
        <f t="shared" ref="D109:D143" si="4">SUM(C109-B109)</f>
        <v>13.13</v>
      </c>
      <c r="E109" s="5"/>
    </row>
    <row r="110" spans="1:9" ht="15.75" x14ac:dyDescent="0.25">
      <c r="A110" s="96">
        <v>2</v>
      </c>
      <c r="B110" s="79">
        <v>101.87</v>
      </c>
      <c r="C110" s="82">
        <v>115</v>
      </c>
      <c r="D110" s="80">
        <f t="shared" si="4"/>
        <v>13.13</v>
      </c>
      <c r="E110" s="5"/>
    </row>
    <row r="111" spans="1:9" ht="15.75" x14ac:dyDescent="0.25">
      <c r="A111" s="96">
        <v>3</v>
      </c>
      <c r="B111" s="79">
        <v>101.87</v>
      </c>
      <c r="C111" s="82">
        <v>115</v>
      </c>
      <c r="D111" s="80">
        <f t="shared" si="4"/>
        <v>13.13</v>
      </c>
      <c r="E111" s="5"/>
    </row>
    <row r="112" spans="1:9" ht="15.75" x14ac:dyDescent="0.25">
      <c r="A112" s="96">
        <v>5</v>
      </c>
      <c r="B112" s="79">
        <v>112.81</v>
      </c>
      <c r="C112" s="82">
        <v>135</v>
      </c>
      <c r="D112" s="80">
        <f t="shared" si="4"/>
        <v>22.19</v>
      </c>
      <c r="E112" s="5"/>
    </row>
    <row r="113" spans="1:5" ht="15.75" x14ac:dyDescent="0.25">
      <c r="A113" s="96">
        <v>6</v>
      </c>
      <c r="B113" s="79">
        <v>101.87</v>
      </c>
      <c r="C113" s="82">
        <v>115</v>
      </c>
      <c r="D113" s="80">
        <f t="shared" si="4"/>
        <v>13.13</v>
      </c>
      <c r="E113" s="5"/>
    </row>
    <row r="114" spans="1:5" ht="15.75" x14ac:dyDescent="0.25">
      <c r="A114" s="96">
        <v>7</v>
      </c>
      <c r="B114" s="79">
        <v>101.87</v>
      </c>
      <c r="C114" s="82">
        <v>115</v>
      </c>
      <c r="D114" s="80">
        <f t="shared" si="4"/>
        <v>13.13</v>
      </c>
      <c r="E114" s="5"/>
    </row>
    <row r="115" spans="1:5" ht="15.75" x14ac:dyDescent="0.25">
      <c r="A115" s="96">
        <v>8</v>
      </c>
      <c r="B115" s="79">
        <v>101.87</v>
      </c>
      <c r="C115" s="82">
        <v>115</v>
      </c>
      <c r="D115" s="80">
        <f t="shared" si="4"/>
        <v>13.13</v>
      </c>
      <c r="E115" s="5"/>
    </row>
    <row r="116" spans="1:5" ht="15.75" x14ac:dyDescent="0.25">
      <c r="A116" s="96">
        <v>9</v>
      </c>
      <c r="B116" s="79">
        <v>101.87</v>
      </c>
      <c r="C116" s="82">
        <v>115</v>
      </c>
      <c r="D116" s="80">
        <f t="shared" si="4"/>
        <v>13.13</v>
      </c>
      <c r="E116" s="5"/>
    </row>
    <row r="117" spans="1:5" ht="15.75" x14ac:dyDescent="0.25">
      <c r="A117" s="96">
        <v>10</v>
      </c>
      <c r="B117" s="79">
        <v>101.87</v>
      </c>
      <c r="C117" s="82">
        <v>115</v>
      </c>
      <c r="D117" s="80">
        <f t="shared" si="4"/>
        <v>13.13</v>
      </c>
      <c r="E117" s="5"/>
    </row>
    <row r="118" spans="1:5" ht="15.75" x14ac:dyDescent="0.25">
      <c r="A118" s="96">
        <v>11</v>
      </c>
      <c r="B118" s="79">
        <v>98.17</v>
      </c>
      <c r="C118" s="82">
        <v>115</v>
      </c>
      <c r="D118" s="80">
        <f t="shared" si="4"/>
        <v>16.829999999999998</v>
      </c>
      <c r="E118" s="5"/>
    </row>
    <row r="119" spans="1:5" ht="15.75" x14ac:dyDescent="0.25">
      <c r="A119" s="96">
        <v>12</v>
      </c>
      <c r="B119" s="79">
        <v>98.17</v>
      </c>
      <c r="C119" s="82">
        <v>115</v>
      </c>
      <c r="D119" s="80">
        <f t="shared" si="4"/>
        <v>16.829999999999998</v>
      </c>
      <c r="E119" s="5"/>
    </row>
    <row r="120" spans="1:5" ht="15.75" x14ac:dyDescent="0.25">
      <c r="A120" s="96">
        <v>101</v>
      </c>
      <c r="B120" s="79">
        <v>98.17</v>
      </c>
      <c r="C120" s="82">
        <v>115</v>
      </c>
      <c r="D120" s="80">
        <f t="shared" si="4"/>
        <v>16.829999999999998</v>
      </c>
      <c r="E120" s="5"/>
    </row>
    <row r="121" spans="1:5" ht="15.75" x14ac:dyDescent="0.25">
      <c r="A121" s="96">
        <v>102</v>
      </c>
      <c r="B121" s="79">
        <v>101.87</v>
      </c>
      <c r="C121" s="82">
        <v>115</v>
      </c>
      <c r="D121" s="80">
        <f t="shared" si="4"/>
        <v>13.13</v>
      </c>
      <c r="E121" s="5"/>
    </row>
    <row r="122" spans="1:5" ht="15.75" x14ac:dyDescent="0.25">
      <c r="A122" s="96">
        <v>103</v>
      </c>
      <c r="B122" s="79">
        <v>98.17</v>
      </c>
      <c r="C122" s="82">
        <v>115</v>
      </c>
      <c r="D122" s="80">
        <f t="shared" si="4"/>
        <v>16.829999999999998</v>
      </c>
      <c r="E122" s="5"/>
    </row>
    <row r="123" spans="1:5" ht="15.75" x14ac:dyDescent="0.25">
      <c r="A123" s="96">
        <v>104</v>
      </c>
      <c r="B123" s="79">
        <v>98.17</v>
      </c>
      <c r="C123" s="82">
        <v>115</v>
      </c>
      <c r="D123" s="80">
        <f t="shared" si="4"/>
        <v>16.829999999999998</v>
      </c>
      <c r="E123" s="5"/>
    </row>
    <row r="124" spans="1:5" ht="15.75" x14ac:dyDescent="0.25">
      <c r="A124" s="96">
        <v>105</v>
      </c>
      <c r="B124" s="79">
        <v>101.87</v>
      </c>
      <c r="C124" s="82">
        <v>115</v>
      </c>
      <c r="D124" s="80">
        <f t="shared" si="4"/>
        <v>13.13</v>
      </c>
      <c r="E124" s="5"/>
    </row>
    <row r="125" spans="1:5" ht="15.75" x14ac:dyDescent="0.25">
      <c r="A125" s="96">
        <v>106</v>
      </c>
      <c r="B125" s="79">
        <v>101.87</v>
      </c>
      <c r="C125" s="82">
        <v>115</v>
      </c>
      <c r="D125" s="80">
        <f t="shared" si="4"/>
        <v>13.13</v>
      </c>
      <c r="E125" s="5"/>
    </row>
    <row r="126" spans="1:5" ht="15.75" x14ac:dyDescent="0.25">
      <c r="A126" s="96">
        <v>107</v>
      </c>
      <c r="B126" s="79">
        <v>101.87</v>
      </c>
      <c r="C126" s="82">
        <v>115</v>
      </c>
      <c r="D126" s="80">
        <f t="shared" si="4"/>
        <v>13.13</v>
      </c>
      <c r="E126" s="5"/>
    </row>
    <row r="127" spans="1:5" ht="15.75" x14ac:dyDescent="0.25">
      <c r="A127" s="96">
        <v>108</v>
      </c>
      <c r="B127" s="79">
        <v>98.17</v>
      </c>
      <c r="C127" s="82">
        <v>115</v>
      </c>
      <c r="D127" s="80">
        <f t="shared" si="4"/>
        <v>16.829999999999998</v>
      </c>
      <c r="E127" s="5"/>
    </row>
    <row r="128" spans="1:5" ht="15.75" x14ac:dyDescent="0.25">
      <c r="A128" s="96">
        <v>109</v>
      </c>
      <c r="B128" s="79">
        <v>101.87</v>
      </c>
      <c r="C128" s="82">
        <v>115</v>
      </c>
      <c r="D128" s="80">
        <f t="shared" si="4"/>
        <v>13.13</v>
      </c>
      <c r="E128" s="5"/>
    </row>
    <row r="129" spans="1:5" ht="15.75" x14ac:dyDescent="0.25">
      <c r="A129" s="96">
        <v>110</v>
      </c>
      <c r="B129" s="79">
        <v>101.87</v>
      </c>
      <c r="C129" s="82">
        <v>115</v>
      </c>
      <c r="D129" s="80">
        <f t="shared" si="4"/>
        <v>13.13</v>
      </c>
      <c r="E129" s="5"/>
    </row>
    <row r="130" spans="1:5" ht="15.75" x14ac:dyDescent="0.25">
      <c r="A130" s="96">
        <v>111</v>
      </c>
      <c r="B130" s="79">
        <v>101.87</v>
      </c>
      <c r="C130" s="82">
        <v>115</v>
      </c>
      <c r="D130" s="80">
        <f t="shared" si="4"/>
        <v>13.13</v>
      </c>
      <c r="E130" s="5"/>
    </row>
    <row r="131" spans="1:5" ht="15.75" x14ac:dyDescent="0.25">
      <c r="A131" s="96">
        <v>112</v>
      </c>
      <c r="B131" s="79">
        <v>98.17</v>
      </c>
      <c r="C131" s="82">
        <v>115</v>
      </c>
      <c r="D131" s="80">
        <f t="shared" si="4"/>
        <v>16.829999999999998</v>
      </c>
      <c r="E131" s="5"/>
    </row>
    <row r="132" spans="1:5" ht="15.75" x14ac:dyDescent="0.25">
      <c r="A132" s="96">
        <v>201</v>
      </c>
      <c r="B132" s="79">
        <v>101.87</v>
      </c>
      <c r="C132" s="82">
        <v>115</v>
      </c>
      <c r="D132" s="80">
        <f t="shared" si="4"/>
        <v>13.13</v>
      </c>
      <c r="E132" s="5"/>
    </row>
    <row r="133" spans="1:5" ht="15.75" x14ac:dyDescent="0.25">
      <c r="A133" s="96">
        <v>202</v>
      </c>
      <c r="B133" s="79">
        <v>98.17</v>
      </c>
      <c r="C133" s="82">
        <v>115</v>
      </c>
      <c r="D133" s="80">
        <f t="shared" si="4"/>
        <v>16.829999999999998</v>
      </c>
      <c r="E133" s="5"/>
    </row>
    <row r="134" spans="1:5" ht="15.75" x14ac:dyDescent="0.25">
      <c r="A134" s="96">
        <v>203</v>
      </c>
      <c r="B134" s="79">
        <v>98.17</v>
      </c>
      <c r="C134" s="82">
        <v>115</v>
      </c>
      <c r="D134" s="80">
        <f t="shared" si="4"/>
        <v>16.829999999999998</v>
      </c>
      <c r="E134" s="5"/>
    </row>
    <row r="135" spans="1:5" ht="15.75" x14ac:dyDescent="0.25">
      <c r="A135" s="96">
        <v>204</v>
      </c>
      <c r="B135" s="79">
        <v>98.17</v>
      </c>
      <c r="C135" s="82">
        <v>115</v>
      </c>
      <c r="D135" s="80">
        <f t="shared" si="4"/>
        <v>16.829999999999998</v>
      </c>
      <c r="E135" s="5"/>
    </row>
    <row r="136" spans="1:5" ht="15.75" x14ac:dyDescent="0.25">
      <c r="A136" s="96">
        <v>205</v>
      </c>
      <c r="B136" s="79">
        <v>98.17</v>
      </c>
      <c r="C136" s="82">
        <v>115</v>
      </c>
      <c r="D136" s="80">
        <f t="shared" si="4"/>
        <v>16.829999999999998</v>
      </c>
      <c r="E136" s="5"/>
    </row>
    <row r="137" spans="1:5" ht="15.75" x14ac:dyDescent="0.25">
      <c r="A137" s="96">
        <v>206</v>
      </c>
      <c r="B137" s="79">
        <v>98.17</v>
      </c>
      <c r="C137" s="82">
        <v>115</v>
      </c>
      <c r="D137" s="80">
        <f t="shared" si="4"/>
        <v>16.829999999999998</v>
      </c>
      <c r="E137" s="5"/>
    </row>
    <row r="138" spans="1:5" ht="15.75" x14ac:dyDescent="0.25">
      <c r="A138" s="96">
        <v>207</v>
      </c>
      <c r="B138" s="79">
        <v>98.17</v>
      </c>
      <c r="C138" s="82">
        <v>115</v>
      </c>
      <c r="D138" s="80">
        <f t="shared" si="4"/>
        <v>16.829999999999998</v>
      </c>
      <c r="E138" s="5"/>
    </row>
    <row r="139" spans="1:5" ht="15.75" x14ac:dyDescent="0.25">
      <c r="A139" s="96">
        <v>208</v>
      </c>
      <c r="B139" s="79">
        <v>98.17</v>
      </c>
      <c r="C139" s="82">
        <v>115</v>
      </c>
      <c r="D139" s="80">
        <f t="shared" si="4"/>
        <v>16.829999999999998</v>
      </c>
      <c r="E139" s="5"/>
    </row>
    <row r="140" spans="1:5" ht="15.75" x14ac:dyDescent="0.25">
      <c r="A140" s="96">
        <v>209</v>
      </c>
      <c r="B140" s="79">
        <v>98.17</v>
      </c>
      <c r="C140" s="82">
        <v>115</v>
      </c>
      <c r="D140" s="80">
        <f t="shared" si="4"/>
        <v>16.829999999999998</v>
      </c>
      <c r="E140" s="5"/>
    </row>
    <row r="141" spans="1:5" ht="15.75" x14ac:dyDescent="0.25">
      <c r="A141" s="96">
        <v>210</v>
      </c>
      <c r="B141" s="79">
        <v>101.87</v>
      </c>
      <c r="C141" s="82">
        <v>115</v>
      </c>
      <c r="D141" s="80">
        <f t="shared" si="4"/>
        <v>13.13</v>
      </c>
      <c r="E141" s="5"/>
    </row>
    <row r="142" spans="1:5" ht="15.75" x14ac:dyDescent="0.25">
      <c r="A142" s="96">
        <v>211</v>
      </c>
      <c r="B142" s="79">
        <v>98.17</v>
      </c>
      <c r="C142" s="82">
        <v>115</v>
      </c>
      <c r="D142" s="80">
        <f t="shared" si="4"/>
        <v>16.829999999999998</v>
      </c>
      <c r="E142" s="5"/>
    </row>
    <row r="143" spans="1:5" ht="15.75" x14ac:dyDescent="0.25">
      <c r="A143" s="96">
        <v>212</v>
      </c>
      <c r="B143" s="79">
        <v>101.87</v>
      </c>
      <c r="C143" s="82">
        <v>115</v>
      </c>
      <c r="D143" s="80">
        <f t="shared" si="4"/>
        <v>13.13</v>
      </c>
      <c r="E143" s="5"/>
    </row>
    <row r="144" spans="1:5" ht="15.75" hidden="1" x14ac:dyDescent="0.25">
      <c r="B144" s="2">
        <f>SUM(B16:B143)</f>
        <v>10321.91</v>
      </c>
      <c r="C144" s="17">
        <f>SUM(C16:C143)</f>
        <v>11865</v>
      </c>
    </row>
    <row r="145" spans="1:22" ht="15.75" hidden="1" x14ac:dyDescent="0.25">
      <c r="B145" s="5"/>
      <c r="C145" s="2">
        <f>SUM(C144-B144)</f>
        <v>1543.09</v>
      </c>
    </row>
    <row r="146" spans="1:22" ht="15.75" hidden="1" x14ac:dyDescent="0.25">
      <c r="B146" s="5"/>
      <c r="C146" s="49">
        <f>C145*12</f>
        <v>18517.080000000002</v>
      </c>
    </row>
    <row r="147" spans="1:22" ht="15.75" hidden="1" x14ac:dyDescent="0.25">
      <c r="B147" s="5"/>
      <c r="C147" s="3"/>
    </row>
    <row r="148" spans="1:22" ht="33.75" hidden="1" customHeight="1" x14ac:dyDescent="0.2">
      <c r="A148" s="135" t="s">
        <v>306</v>
      </c>
      <c r="B148" s="135"/>
      <c r="C148" s="135"/>
      <c r="D148" s="135"/>
      <c r="E148" s="129"/>
    </row>
    <row r="149" spans="1:22" hidden="1" x14ac:dyDescent="0.2">
      <c r="C149" s="1"/>
    </row>
    <row r="150" spans="1:22" ht="42.75" hidden="1" customHeight="1" x14ac:dyDescent="0.2">
      <c r="A150" s="131" t="s">
        <v>305</v>
      </c>
      <c r="B150" s="131"/>
      <c r="C150" s="1"/>
    </row>
    <row r="151" spans="1:22" ht="15.75" hidden="1" x14ac:dyDescent="0.25">
      <c r="B151" s="5"/>
      <c r="C151" s="3"/>
    </row>
    <row r="152" spans="1:22" ht="15.75" hidden="1" x14ac:dyDescent="0.25">
      <c r="B152" s="5"/>
      <c r="C152" s="3"/>
    </row>
    <row r="153" spans="1:22" ht="15.75" hidden="1" x14ac:dyDescent="0.25">
      <c r="B153" s="5"/>
      <c r="C153" s="3"/>
    </row>
    <row r="154" spans="1:22" ht="15.75" hidden="1" x14ac:dyDescent="0.25">
      <c r="B154" s="5"/>
      <c r="C154" s="3"/>
    </row>
    <row r="155" spans="1:22" ht="15.75" hidden="1" x14ac:dyDescent="0.25">
      <c r="C155" s="18"/>
    </row>
    <row r="156" spans="1:22" ht="15.75" hidden="1" x14ac:dyDescent="0.25">
      <c r="A156" s="18" t="s">
        <v>225</v>
      </c>
      <c r="C156" s="18"/>
    </row>
    <row r="157" spans="1:22" ht="15.75" hidden="1" x14ac:dyDescent="0.25">
      <c r="C157" s="18"/>
    </row>
    <row r="158" spans="1:22" s="12" customFormat="1" ht="15.75" hidden="1" x14ac:dyDescent="0.25">
      <c r="B158"/>
      <c r="C158" s="1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s="12" customFormat="1" ht="15.75" hidden="1" x14ac:dyDescent="0.25">
      <c r="B159"/>
      <c r="C159" s="18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s="12" customFormat="1" ht="15.75" hidden="1" x14ac:dyDescent="0.25">
      <c r="B160"/>
      <c r="C160" s="18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2:22" s="12" customFormat="1" ht="15.75" x14ac:dyDescent="0.25">
      <c r="B161"/>
      <c r="C161" s="18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2:22" s="12" customFormat="1" ht="15.75" x14ac:dyDescent="0.25">
      <c r="B162"/>
      <c r="C162" s="18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2:22" s="12" customFormat="1" ht="15.75" x14ac:dyDescent="0.25">
      <c r="B163"/>
      <c r="C163" s="18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2:22" s="12" customFormat="1" ht="15.75" x14ac:dyDescent="0.25">
      <c r="B164"/>
      <c r="C164" s="18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2:22" s="12" customFormat="1" ht="15.75" x14ac:dyDescent="0.25">
      <c r="B165"/>
      <c r="C165" s="18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2:22" s="12" customFormat="1" ht="15.75" x14ac:dyDescent="0.25">
      <c r="B166"/>
      <c r="C166" s="18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2:22" s="12" customFormat="1" ht="15.75" x14ac:dyDescent="0.25">
      <c r="B167"/>
      <c r="C167" s="18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2:22" s="12" customFormat="1" ht="15.75" x14ac:dyDescent="0.25">
      <c r="B168"/>
      <c r="C168" s="1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</sheetData>
  <mergeCells count="2">
    <mergeCell ref="A148:D148"/>
    <mergeCell ref="A150:B150"/>
  </mergeCells>
  <phoneticPr fontId="27" type="noConversion"/>
  <pageMargins left="0.7" right="0.7" top="0.75" bottom="0.75" header="0.3" footer="0.3"/>
  <pageSetup paperSize="9" scale="96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A44C-0539-4E1E-88A7-BDDDE3C4AD13}">
  <sheetPr>
    <pageSetUpPr fitToPage="1"/>
  </sheetPr>
  <dimension ref="A1:T90"/>
  <sheetViews>
    <sheetView topLeftCell="A12" workbookViewId="0">
      <selection activeCell="AB23" sqref="AB23"/>
    </sheetView>
  </sheetViews>
  <sheetFormatPr defaultRowHeight="15" x14ac:dyDescent="0.2"/>
  <cols>
    <col min="1" max="1" width="17.33203125" style="87" bestFit="1" customWidth="1"/>
    <col min="2" max="2" width="20.5546875" hidden="1" customWidth="1"/>
    <col min="4" max="4" width="23.88671875" hidden="1" customWidth="1"/>
    <col min="5" max="8" width="0" hidden="1" customWidth="1"/>
    <col min="9" max="9" width="12.44140625" hidden="1" customWidth="1"/>
    <col min="10" max="13" width="10.44140625" hidden="1" customWidth="1"/>
    <col min="14" max="14" width="9.5546875" style="12" hidden="1" customWidth="1"/>
    <col min="15" max="15" width="10.88671875" style="12" customWidth="1"/>
    <col min="16" max="16" width="10.44140625" hidden="1" customWidth="1"/>
    <col min="17" max="17" width="9.77734375" customWidth="1"/>
    <col min="18" max="19" width="0" hidden="1" customWidth="1"/>
    <col min="20" max="20" width="10.44140625" hidden="1" customWidth="1"/>
    <col min="21" max="26" width="0" hidden="1" customWidth="1"/>
  </cols>
  <sheetData>
    <row r="1" spans="1:20" ht="18" x14ac:dyDescent="0.25">
      <c r="A1" s="86" t="s">
        <v>362</v>
      </c>
      <c r="N1"/>
      <c r="O1"/>
    </row>
    <row r="2" spans="1:20" hidden="1" x14ac:dyDescent="0.2">
      <c r="A2" s="87" t="s">
        <v>294</v>
      </c>
      <c r="N2"/>
      <c r="O2"/>
    </row>
    <row r="3" spans="1:20" hidden="1" x14ac:dyDescent="0.2">
      <c r="A3" s="87" t="s">
        <v>295</v>
      </c>
      <c r="N3"/>
      <c r="O3"/>
    </row>
    <row r="4" spans="1:20" hidden="1" x14ac:dyDescent="0.2">
      <c r="N4"/>
      <c r="O4"/>
    </row>
    <row r="5" spans="1:20" ht="15.75" hidden="1" x14ac:dyDescent="0.25">
      <c r="A5" s="87" t="s">
        <v>361</v>
      </c>
      <c r="N5"/>
      <c r="O5"/>
    </row>
    <row r="6" spans="1:20" hidden="1" x14ac:dyDescent="0.2">
      <c r="N6"/>
      <c r="O6"/>
    </row>
    <row r="7" spans="1:20" ht="15.75" hidden="1" x14ac:dyDescent="0.25">
      <c r="H7" s="3" t="s">
        <v>308</v>
      </c>
      <c r="I7" s="2">
        <v>1186891.0900000001</v>
      </c>
      <c r="N7"/>
      <c r="O7"/>
    </row>
    <row r="8" spans="1:20" hidden="1" x14ac:dyDescent="0.2">
      <c r="H8" t="s">
        <v>309</v>
      </c>
      <c r="I8" s="1">
        <f>SUM(G16:G67)</f>
        <v>1129.45</v>
      </c>
      <c r="N8"/>
      <c r="O8"/>
    </row>
    <row r="9" spans="1:20" ht="15.75" hidden="1" x14ac:dyDescent="0.25">
      <c r="H9" t="s">
        <v>310</v>
      </c>
      <c r="I9" s="38">
        <f>SUM(I7/I8)</f>
        <v>1050.8579999999999</v>
      </c>
      <c r="N9"/>
      <c r="O9"/>
    </row>
    <row r="10" spans="1:20" hidden="1" x14ac:dyDescent="0.2">
      <c r="N10"/>
      <c r="O10"/>
    </row>
    <row r="11" spans="1:20" ht="15.75" hidden="1" x14ac:dyDescent="0.25">
      <c r="A11" s="87" t="s">
        <v>307</v>
      </c>
      <c r="H11" s="33">
        <v>0.29149999999999998</v>
      </c>
      <c r="N11"/>
      <c r="O11"/>
      <c r="T11" t="s">
        <v>341</v>
      </c>
    </row>
    <row r="12" spans="1:20" ht="15.75" x14ac:dyDescent="0.25">
      <c r="H12" s="33"/>
      <c r="N12"/>
      <c r="O12"/>
    </row>
    <row r="13" spans="1:20" ht="75" x14ac:dyDescent="0.2">
      <c r="A13" s="85" t="s">
        <v>0</v>
      </c>
      <c r="B13" s="30" t="s">
        <v>1</v>
      </c>
      <c r="C13" s="31" t="s">
        <v>300</v>
      </c>
      <c r="D13" s="32" t="s">
        <v>2</v>
      </c>
      <c r="E13" s="32" t="s">
        <v>3</v>
      </c>
      <c r="F13" s="32" t="s">
        <v>4</v>
      </c>
      <c r="G13" s="31" t="s">
        <v>299</v>
      </c>
      <c r="H13" s="32" t="s">
        <v>5</v>
      </c>
      <c r="I13" s="31" t="s">
        <v>219</v>
      </c>
      <c r="J13" s="31" t="s">
        <v>222</v>
      </c>
      <c r="K13" s="31" t="s">
        <v>216</v>
      </c>
      <c r="L13" s="31" t="s">
        <v>217</v>
      </c>
      <c r="M13" s="31" t="s">
        <v>218</v>
      </c>
      <c r="N13" s="31" t="s">
        <v>220</v>
      </c>
      <c r="O13" s="40" t="s">
        <v>360</v>
      </c>
      <c r="P13" s="31" t="s">
        <v>304</v>
      </c>
      <c r="Q13" s="31" t="s">
        <v>336</v>
      </c>
      <c r="T13" s="40" t="s">
        <v>340</v>
      </c>
    </row>
    <row r="14" spans="1:20" ht="15.75" x14ac:dyDescent="0.25">
      <c r="A14" s="44"/>
      <c r="J14" s="3"/>
      <c r="L14" s="12"/>
      <c r="O14" s="3"/>
    </row>
    <row r="15" spans="1:20" ht="15.75" x14ac:dyDescent="0.25">
      <c r="A15" s="44" t="s">
        <v>311</v>
      </c>
      <c r="L15" s="12"/>
      <c r="O15" s="3"/>
    </row>
    <row r="16" spans="1:20" ht="15.75" x14ac:dyDescent="0.25">
      <c r="A16" s="44">
        <v>1</v>
      </c>
      <c r="B16" t="s">
        <v>133</v>
      </c>
      <c r="C16" s="5">
        <v>34.200000000000003</v>
      </c>
      <c r="D16" s="5">
        <v>40.78</v>
      </c>
      <c r="E16">
        <v>18</v>
      </c>
      <c r="F16">
        <v>1.71</v>
      </c>
      <c r="G16" s="5">
        <v>21.72</v>
      </c>
      <c r="H16" s="24" t="s">
        <v>102</v>
      </c>
      <c r="I16" s="1">
        <f t="shared" ref="I16:I47" si="0">SUM(G16*$I$9)</f>
        <v>22824.639999999999</v>
      </c>
      <c r="J16" s="1">
        <f>SUM(I16*1.2915)</f>
        <v>29478.02</v>
      </c>
      <c r="K16" s="1">
        <f>SUM(J16*5%)</f>
        <v>1473.9</v>
      </c>
      <c r="L16" s="14">
        <f>SUM(K16/12)</f>
        <v>122.83</v>
      </c>
      <c r="M16" s="1">
        <f>SUM(C16*1.2)</f>
        <v>41.04</v>
      </c>
      <c r="N16" s="13">
        <f>SUM(M16)</f>
        <v>41.04</v>
      </c>
      <c r="O16" s="2">
        <v>39</v>
      </c>
      <c r="P16" s="6">
        <f>SUM(O16/C16*100)-100</f>
        <v>14.04</v>
      </c>
      <c r="Q16" s="6">
        <f>SUM(Tabuľka8[[#This Row],[Stĺpec15]]-Tabuľka8[[#This Row],[Stĺpec3]])</f>
        <v>4.8</v>
      </c>
      <c r="T16" s="7">
        <f>Tabuľka8[[#This Row],[Stĺpec15]]*1.2</f>
        <v>46.8</v>
      </c>
    </row>
    <row r="17" spans="1:20" ht="15.75" x14ac:dyDescent="0.25">
      <c r="A17" s="44">
        <v>2</v>
      </c>
      <c r="B17" t="s">
        <v>134</v>
      </c>
      <c r="C17" s="5">
        <v>34.200000000000003</v>
      </c>
      <c r="D17" s="5">
        <v>80.959999999999994</v>
      </c>
      <c r="E17">
        <v>18</v>
      </c>
      <c r="F17">
        <v>1.71</v>
      </c>
      <c r="G17" s="5">
        <v>21.72</v>
      </c>
      <c r="H17" s="24" t="s">
        <v>102</v>
      </c>
      <c r="I17" s="1">
        <f t="shared" si="0"/>
        <v>22824.639999999999</v>
      </c>
      <c r="J17" s="1">
        <f t="shared" ref="J17:J67" si="1">SUM(I17*1.2915)</f>
        <v>29478.02</v>
      </c>
      <c r="K17" s="1">
        <f t="shared" ref="K17:K67" si="2">SUM(J17*5%)</f>
        <v>1473.9</v>
      </c>
      <c r="L17" s="14">
        <f t="shared" ref="L17:L67" si="3">SUM(K17/12)</f>
        <v>122.83</v>
      </c>
      <c r="M17" s="1">
        <f t="shared" ref="M17:M67" si="4">SUM(C17*1.2)</f>
        <v>41.04</v>
      </c>
      <c r="N17" s="13">
        <f t="shared" ref="N17:N67" si="5">SUM(M17)</f>
        <v>41.04</v>
      </c>
      <c r="O17" s="2">
        <v>39</v>
      </c>
      <c r="P17" s="6">
        <f t="shared" ref="P17:P67" si="6">SUM(O17/C17*100)-100</f>
        <v>14.04</v>
      </c>
      <c r="Q17" s="6">
        <f>SUM(Tabuľka8[[#This Row],[Stĺpec15]]-Tabuľka8[[#This Row],[Stĺpec3]])</f>
        <v>4.8</v>
      </c>
      <c r="T17" s="7">
        <f>Tabuľka8[[#This Row],[Stĺpec15]]*1.2</f>
        <v>46.8</v>
      </c>
    </row>
    <row r="18" spans="1:20" ht="15.75" x14ac:dyDescent="0.25">
      <c r="A18" s="44">
        <v>3</v>
      </c>
      <c r="B18" t="s">
        <v>135</v>
      </c>
      <c r="C18" s="5">
        <v>32.71</v>
      </c>
      <c r="D18" s="5">
        <v>40.31</v>
      </c>
      <c r="E18">
        <v>18</v>
      </c>
      <c r="F18">
        <v>1.71</v>
      </c>
      <c r="G18" s="5">
        <v>21.72</v>
      </c>
      <c r="H18" s="24" t="s">
        <v>102</v>
      </c>
      <c r="I18" s="1">
        <f t="shared" si="0"/>
        <v>22824.639999999999</v>
      </c>
      <c r="J18" s="1">
        <f t="shared" si="1"/>
        <v>29478.02</v>
      </c>
      <c r="K18" s="1">
        <f t="shared" si="2"/>
        <v>1473.9</v>
      </c>
      <c r="L18" s="14">
        <f t="shared" si="3"/>
        <v>122.83</v>
      </c>
      <c r="M18" s="1">
        <f t="shared" si="4"/>
        <v>39.25</v>
      </c>
      <c r="N18" s="13">
        <f t="shared" si="5"/>
        <v>39.25</v>
      </c>
      <c r="O18" s="2">
        <v>39</v>
      </c>
      <c r="P18" s="6">
        <f t="shared" si="6"/>
        <v>19.23</v>
      </c>
      <c r="Q18" s="6">
        <f>SUM(Tabuľka8[[#This Row],[Stĺpec15]]-Tabuľka8[[#This Row],[Stĺpec3]])</f>
        <v>6.29</v>
      </c>
      <c r="T18" s="7">
        <f>Tabuľka8[[#This Row],[Stĺpec15]]*1.2</f>
        <v>46.8</v>
      </c>
    </row>
    <row r="19" spans="1:20" ht="15.75" x14ac:dyDescent="0.25">
      <c r="A19" s="44">
        <v>4</v>
      </c>
      <c r="B19" t="s">
        <v>136</v>
      </c>
      <c r="C19" s="5">
        <v>34.200000000000003</v>
      </c>
      <c r="D19" s="5">
        <v>80.959999999999994</v>
      </c>
      <c r="E19">
        <v>18</v>
      </c>
      <c r="F19">
        <v>1.71</v>
      </c>
      <c r="G19" s="5">
        <v>21.72</v>
      </c>
      <c r="H19" s="24" t="s">
        <v>102</v>
      </c>
      <c r="I19" s="1">
        <f t="shared" si="0"/>
        <v>22824.639999999999</v>
      </c>
      <c r="J19" s="1">
        <f t="shared" si="1"/>
        <v>29478.02</v>
      </c>
      <c r="K19" s="1">
        <f t="shared" si="2"/>
        <v>1473.9</v>
      </c>
      <c r="L19" s="14">
        <f t="shared" si="3"/>
        <v>122.83</v>
      </c>
      <c r="M19" s="1">
        <f t="shared" si="4"/>
        <v>41.04</v>
      </c>
      <c r="N19" s="13">
        <f t="shared" si="5"/>
        <v>41.04</v>
      </c>
      <c r="O19" s="2">
        <v>39</v>
      </c>
      <c r="P19" s="6">
        <f t="shared" si="6"/>
        <v>14.04</v>
      </c>
      <c r="Q19" s="6">
        <f>SUM(Tabuľka8[[#This Row],[Stĺpec15]]-Tabuľka8[[#This Row],[Stĺpec3]])</f>
        <v>4.8</v>
      </c>
      <c r="T19" s="7">
        <f>Tabuľka8[[#This Row],[Stĺpec15]]*1.2</f>
        <v>46.8</v>
      </c>
    </row>
    <row r="20" spans="1:20" ht="15.75" x14ac:dyDescent="0.25">
      <c r="A20" s="44">
        <v>5</v>
      </c>
      <c r="B20" t="s">
        <v>137</v>
      </c>
      <c r="C20" s="5">
        <v>32.54</v>
      </c>
      <c r="D20" s="5">
        <v>161.66999999999999</v>
      </c>
      <c r="E20">
        <v>18</v>
      </c>
      <c r="F20">
        <v>1.71</v>
      </c>
      <c r="G20" s="5">
        <v>21.72</v>
      </c>
      <c r="H20" s="24" t="s">
        <v>102</v>
      </c>
      <c r="I20" s="1">
        <f t="shared" si="0"/>
        <v>22824.639999999999</v>
      </c>
      <c r="J20" s="1">
        <f t="shared" si="1"/>
        <v>29478.02</v>
      </c>
      <c r="K20" s="1">
        <f t="shared" si="2"/>
        <v>1473.9</v>
      </c>
      <c r="L20" s="14">
        <f t="shared" si="3"/>
        <v>122.83</v>
      </c>
      <c r="M20" s="1">
        <f t="shared" si="4"/>
        <v>39.049999999999997</v>
      </c>
      <c r="N20" s="13">
        <f t="shared" si="5"/>
        <v>39.049999999999997</v>
      </c>
      <c r="O20" s="2">
        <v>39</v>
      </c>
      <c r="P20" s="6">
        <f t="shared" si="6"/>
        <v>19.850000000000001</v>
      </c>
      <c r="Q20" s="6">
        <f>SUM(Tabuľka8[[#This Row],[Stĺpec15]]-Tabuľka8[[#This Row],[Stĺpec3]])</f>
        <v>6.46</v>
      </c>
      <c r="T20" s="7">
        <f>Tabuľka8[[#This Row],[Stĺpec15]]*1.2</f>
        <v>46.8</v>
      </c>
    </row>
    <row r="21" spans="1:20" ht="15.75" x14ac:dyDescent="0.25">
      <c r="A21" s="44">
        <v>6</v>
      </c>
      <c r="B21" s="10" t="s">
        <v>8</v>
      </c>
      <c r="C21" s="5">
        <v>34.200000000000003</v>
      </c>
      <c r="D21" s="5">
        <v>0</v>
      </c>
      <c r="E21">
        <v>18</v>
      </c>
      <c r="F21">
        <v>1.71</v>
      </c>
      <c r="G21" s="5">
        <v>21.72</v>
      </c>
      <c r="H21" s="24" t="s">
        <v>102</v>
      </c>
      <c r="I21" s="1">
        <f t="shared" si="0"/>
        <v>22824.639999999999</v>
      </c>
      <c r="J21" s="1">
        <f t="shared" si="1"/>
        <v>29478.02</v>
      </c>
      <c r="K21" s="1">
        <f t="shared" si="2"/>
        <v>1473.9</v>
      </c>
      <c r="L21" s="14">
        <f t="shared" si="3"/>
        <v>122.83</v>
      </c>
      <c r="M21" s="1">
        <f t="shared" si="4"/>
        <v>41.04</v>
      </c>
      <c r="N21" s="13">
        <f t="shared" si="5"/>
        <v>41.04</v>
      </c>
      <c r="O21" s="2">
        <v>39</v>
      </c>
      <c r="P21" s="6">
        <f t="shared" si="6"/>
        <v>14.04</v>
      </c>
      <c r="Q21" s="6">
        <f>SUM(Tabuľka8[[#This Row],[Stĺpec15]]-Tabuľka8[[#This Row],[Stĺpec3]])</f>
        <v>4.8</v>
      </c>
      <c r="T21" s="7">
        <f>Tabuľka8[[#This Row],[Stĺpec15]]*1.2</f>
        <v>46.8</v>
      </c>
    </row>
    <row r="22" spans="1:20" ht="15.75" x14ac:dyDescent="0.25">
      <c r="A22" s="44">
        <v>7</v>
      </c>
      <c r="B22" t="s">
        <v>138</v>
      </c>
      <c r="C22" s="5">
        <v>32.54</v>
      </c>
      <c r="D22" s="5">
        <v>47.04</v>
      </c>
      <c r="E22">
        <v>18</v>
      </c>
      <c r="F22">
        <v>1.71</v>
      </c>
      <c r="G22" s="5">
        <v>21.72</v>
      </c>
      <c r="H22" s="24" t="s">
        <v>102</v>
      </c>
      <c r="I22" s="1">
        <f t="shared" si="0"/>
        <v>22824.639999999999</v>
      </c>
      <c r="J22" s="1">
        <f t="shared" si="1"/>
        <v>29478.02</v>
      </c>
      <c r="K22" s="1">
        <f t="shared" si="2"/>
        <v>1473.9</v>
      </c>
      <c r="L22" s="14">
        <f t="shared" si="3"/>
        <v>122.83</v>
      </c>
      <c r="M22" s="1">
        <f t="shared" si="4"/>
        <v>39.049999999999997</v>
      </c>
      <c r="N22" s="13">
        <f t="shared" si="5"/>
        <v>39.049999999999997</v>
      </c>
      <c r="O22" s="2">
        <v>39</v>
      </c>
      <c r="P22" s="6">
        <f t="shared" si="6"/>
        <v>19.850000000000001</v>
      </c>
      <c r="Q22" s="6">
        <f>SUM(Tabuľka8[[#This Row],[Stĺpec15]]-Tabuľka8[[#This Row],[Stĺpec3]])</f>
        <v>6.46</v>
      </c>
      <c r="T22" s="7">
        <f>Tabuľka8[[#This Row],[Stĺpec15]]*1.2</f>
        <v>46.8</v>
      </c>
    </row>
    <row r="23" spans="1:20" ht="15.75" x14ac:dyDescent="0.25">
      <c r="A23" s="44">
        <v>8</v>
      </c>
      <c r="B23" t="s">
        <v>139</v>
      </c>
      <c r="C23" s="5">
        <v>33.200000000000003</v>
      </c>
      <c r="D23" s="5">
        <v>68.28</v>
      </c>
      <c r="E23">
        <v>18</v>
      </c>
      <c r="F23">
        <v>1.71</v>
      </c>
      <c r="G23" s="5">
        <v>21.72</v>
      </c>
      <c r="H23" s="24" t="s">
        <v>102</v>
      </c>
      <c r="I23" s="1">
        <f t="shared" si="0"/>
        <v>22824.639999999999</v>
      </c>
      <c r="J23" s="1">
        <f t="shared" si="1"/>
        <v>29478.02</v>
      </c>
      <c r="K23" s="1">
        <f t="shared" si="2"/>
        <v>1473.9</v>
      </c>
      <c r="L23" s="14">
        <f t="shared" si="3"/>
        <v>122.83</v>
      </c>
      <c r="M23" s="1">
        <f t="shared" si="4"/>
        <v>39.840000000000003</v>
      </c>
      <c r="N23" s="13">
        <f t="shared" si="5"/>
        <v>39.840000000000003</v>
      </c>
      <c r="O23" s="2">
        <v>39</v>
      </c>
      <c r="P23" s="6">
        <f t="shared" si="6"/>
        <v>17.47</v>
      </c>
      <c r="Q23" s="6">
        <f>SUM(Tabuľka8[[#This Row],[Stĺpec15]]-Tabuľka8[[#This Row],[Stĺpec3]])</f>
        <v>5.8</v>
      </c>
      <c r="T23" s="7">
        <f>Tabuľka8[[#This Row],[Stĺpec15]]*1.2</f>
        <v>46.8</v>
      </c>
    </row>
    <row r="24" spans="1:20" ht="15.75" x14ac:dyDescent="0.25">
      <c r="A24" s="44">
        <v>9</v>
      </c>
      <c r="B24" t="s">
        <v>140</v>
      </c>
      <c r="C24" s="5">
        <v>32.54</v>
      </c>
      <c r="D24" s="5">
        <v>40.56</v>
      </c>
      <c r="E24">
        <v>18</v>
      </c>
      <c r="F24">
        <v>1.71</v>
      </c>
      <c r="G24" s="5">
        <v>21.72</v>
      </c>
      <c r="H24" s="24" t="s">
        <v>102</v>
      </c>
      <c r="I24" s="1">
        <f t="shared" si="0"/>
        <v>22824.639999999999</v>
      </c>
      <c r="J24" s="1">
        <f t="shared" si="1"/>
        <v>29478.02</v>
      </c>
      <c r="K24" s="1">
        <f t="shared" si="2"/>
        <v>1473.9</v>
      </c>
      <c r="L24" s="14">
        <f t="shared" si="3"/>
        <v>122.83</v>
      </c>
      <c r="M24" s="1">
        <f t="shared" si="4"/>
        <v>39.049999999999997</v>
      </c>
      <c r="N24" s="13">
        <f t="shared" si="5"/>
        <v>39.049999999999997</v>
      </c>
      <c r="O24" s="2">
        <v>39</v>
      </c>
      <c r="P24" s="6">
        <f t="shared" si="6"/>
        <v>19.850000000000001</v>
      </c>
      <c r="Q24" s="6">
        <f>SUM(Tabuľka8[[#This Row],[Stĺpec15]]-Tabuľka8[[#This Row],[Stĺpec3]])</f>
        <v>6.46</v>
      </c>
      <c r="T24" s="7">
        <f>Tabuľka8[[#This Row],[Stĺpec15]]*1.2</f>
        <v>46.8</v>
      </c>
    </row>
    <row r="25" spans="1:20" ht="15.75" x14ac:dyDescent="0.25">
      <c r="A25" s="44">
        <v>10</v>
      </c>
      <c r="B25" t="s">
        <v>141</v>
      </c>
      <c r="C25" s="5">
        <v>32.54</v>
      </c>
      <c r="D25" s="5">
        <v>50.04</v>
      </c>
      <c r="E25">
        <v>18</v>
      </c>
      <c r="F25">
        <v>1.71</v>
      </c>
      <c r="G25" s="5">
        <v>21.72</v>
      </c>
      <c r="H25" s="24" t="s">
        <v>102</v>
      </c>
      <c r="I25" s="1">
        <f t="shared" si="0"/>
        <v>22824.639999999999</v>
      </c>
      <c r="J25" s="1">
        <f t="shared" si="1"/>
        <v>29478.02</v>
      </c>
      <c r="K25" s="1">
        <f t="shared" si="2"/>
        <v>1473.9</v>
      </c>
      <c r="L25" s="14">
        <f t="shared" si="3"/>
        <v>122.83</v>
      </c>
      <c r="M25" s="1">
        <f t="shared" si="4"/>
        <v>39.049999999999997</v>
      </c>
      <c r="N25" s="13">
        <f t="shared" si="5"/>
        <v>39.049999999999997</v>
      </c>
      <c r="O25" s="2">
        <v>39</v>
      </c>
      <c r="P25" s="6">
        <f t="shared" si="6"/>
        <v>19.850000000000001</v>
      </c>
      <c r="Q25" s="6">
        <f>SUM(Tabuľka8[[#This Row],[Stĺpec15]]-Tabuľka8[[#This Row],[Stĺpec3]])</f>
        <v>6.46</v>
      </c>
      <c r="T25" s="7">
        <f>Tabuľka8[[#This Row],[Stĺpec15]]*1.2</f>
        <v>46.8</v>
      </c>
    </row>
    <row r="26" spans="1:20" ht="15.75" x14ac:dyDescent="0.25">
      <c r="A26" s="44">
        <v>11</v>
      </c>
      <c r="B26" t="s">
        <v>142</v>
      </c>
      <c r="C26" s="5">
        <v>32.54</v>
      </c>
      <c r="D26" s="5">
        <v>51.01</v>
      </c>
      <c r="E26">
        <v>18</v>
      </c>
      <c r="F26">
        <v>1.71</v>
      </c>
      <c r="G26" s="5">
        <v>21.72</v>
      </c>
      <c r="H26" s="24" t="s">
        <v>102</v>
      </c>
      <c r="I26" s="1">
        <f t="shared" si="0"/>
        <v>22824.639999999999</v>
      </c>
      <c r="J26" s="1">
        <f t="shared" si="1"/>
        <v>29478.02</v>
      </c>
      <c r="K26" s="1">
        <f t="shared" si="2"/>
        <v>1473.9</v>
      </c>
      <c r="L26" s="14">
        <f t="shared" si="3"/>
        <v>122.83</v>
      </c>
      <c r="M26" s="1">
        <f t="shared" si="4"/>
        <v>39.049999999999997</v>
      </c>
      <c r="N26" s="13">
        <f t="shared" si="5"/>
        <v>39.049999999999997</v>
      </c>
      <c r="O26" s="2">
        <v>39</v>
      </c>
      <c r="P26" s="6">
        <f t="shared" si="6"/>
        <v>19.850000000000001</v>
      </c>
      <c r="Q26" s="6">
        <f>SUM(Tabuľka8[[#This Row],[Stĺpec15]]-Tabuľka8[[#This Row],[Stĺpec3]])</f>
        <v>6.46</v>
      </c>
      <c r="T26" s="7">
        <f>Tabuľka8[[#This Row],[Stĺpec15]]*1.2</f>
        <v>46.8</v>
      </c>
    </row>
    <row r="27" spans="1:20" ht="15.75" x14ac:dyDescent="0.25">
      <c r="A27" s="44">
        <v>12</v>
      </c>
      <c r="B27" t="s">
        <v>143</v>
      </c>
      <c r="C27" s="5">
        <v>32.54</v>
      </c>
      <c r="D27" s="5">
        <v>54.54</v>
      </c>
      <c r="E27">
        <v>18</v>
      </c>
      <c r="F27">
        <v>1.71</v>
      </c>
      <c r="G27" s="5">
        <v>21.72</v>
      </c>
      <c r="H27" s="24" t="s">
        <v>102</v>
      </c>
      <c r="I27" s="1">
        <f t="shared" si="0"/>
        <v>22824.639999999999</v>
      </c>
      <c r="J27" s="1">
        <f t="shared" si="1"/>
        <v>29478.02</v>
      </c>
      <c r="K27" s="1">
        <f t="shared" si="2"/>
        <v>1473.9</v>
      </c>
      <c r="L27" s="14">
        <f t="shared" si="3"/>
        <v>122.83</v>
      </c>
      <c r="M27" s="1">
        <f t="shared" si="4"/>
        <v>39.049999999999997</v>
      </c>
      <c r="N27" s="13">
        <f t="shared" si="5"/>
        <v>39.049999999999997</v>
      </c>
      <c r="O27" s="2">
        <v>39</v>
      </c>
      <c r="P27" s="6">
        <f t="shared" si="6"/>
        <v>19.850000000000001</v>
      </c>
      <c r="Q27" s="6">
        <f>SUM(Tabuľka8[[#This Row],[Stĺpec15]]-Tabuľka8[[#This Row],[Stĺpec3]])</f>
        <v>6.46</v>
      </c>
      <c r="T27" s="7">
        <f>Tabuľka8[[#This Row],[Stĺpec15]]*1.2</f>
        <v>46.8</v>
      </c>
    </row>
    <row r="28" spans="1:20" ht="15.75" x14ac:dyDescent="0.25">
      <c r="A28" s="44">
        <v>13</v>
      </c>
      <c r="B28" t="s">
        <v>141</v>
      </c>
      <c r="C28" s="5">
        <v>32.54</v>
      </c>
      <c r="D28" s="5">
        <v>61.67</v>
      </c>
      <c r="E28">
        <v>18</v>
      </c>
      <c r="F28">
        <v>1.71</v>
      </c>
      <c r="G28" s="5">
        <v>21.72</v>
      </c>
      <c r="H28" s="24" t="s">
        <v>102</v>
      </c>
      <c r="I28" s="1">
        <f t="shared" si="0"/>
        <v>22824.639999999999</v>
      </c>
      <c r="J28" s="1">
        <f t="shared" si="1"/>
        <v>29478.02</v>
      </c>
      <c r="K28" s="1">
        <f t="shared" si="2"/>
        <v>1473.9</v>
      </c>
      <c r="L28" s="14">
        <f t="shared" si="3"/>
        <v>122.83</v>
      </c>
      <c r="M28" s="1">
        <f t="shared" si="4"/>
        <v>39.049999999999997</v>
      </c>
      <c r="N28" s="13">
        <f t="shared" si="5"/>
        <v>39.049999999999997</v>
      </c>
      <c r="O28" s="2">
        <v>39</v>
      </c>
      <c r="P28" s="6">
        <f t="shared" si="6"/>
        <v>19.850000000000001</v>
      </c>
      <c r="Q28" s="6">
        <f>SUM(Tabuľka8[[#This Row],[Stĺpec15]]-Tabuľka8[[#This Row],[Stĺpec3]])</f>
        <v>6.46</v>
      </c>
      <c r="T28" s="7">
        <f>Tabuľka8[[#This Row],[Stĺpec15]]*1.2</f>
        <v>46.8</v>
      </c>
    </row>
    <row r="29" spans="1:20" ht="15.75" x14ac:dyDescent="0.25">
      <c r="A29" s="44">
        <v>14</v>
      </c>
      <c r="B29" t="s">
        <v>144</v>
      </c>
      <c r="C29" s="5">
        <v>32.54</v>
      </c>
      <c r="D29" s="5">
        <v>52.46</v>
      </c>
      <c r="E29">
        <v>18</v>
      </c>
      <c r="F29">
        <v>1.71</v>
      </c>
      <c r="G29" s="5">
        <v>21.72</v>
      </c>
      <c r="H29" s="24" t="s">
        <v>102</v>
      </c>
      <c r="I29" s="1">
        <f t="shared" si="0"/>
        <v>22824.639999999999</v>
      </c>
      <c r="J29" s="1">
        <f t="shared" si="1"/>
        <v>29478.02</v>
      </c>
      <c r="K29" s="1">
        <f t="shared" si="2"/>
        <v>1473.9</v>
      </c>
      <c r="L29" s="14">
        <f t="shared" si="3"/>
        <v>122.83</v>
      </c>
      <c r="M29" s="1">
        <f t="shared" si="4"/>
        <v>39.049999999999997</v>
      </c>
      <c r="N29" s="13">
        <f t="shared" si="5"/>
        <v>39.049999999999997</v>
      </c>
      <c r="O29" s="2">
        <v>39</v>
      </c>
      <c r="P29" s="6">
        <f t="shared" si="6"/>
        <v>19.850000000000001</v>
      </c>
      <c r="Q29" s="6">
        <f>SUM(Tabuľka8[[#This Row],[Stĺpec15]]-Tabuľka8[[#This Row],[Stĺpec3]])</f>
        <v>6.46</v>
      </c>
      <c r="T29" s="7">
        <f>Tabuľka8[[#This Row],[Stĺpec15]]*1.2</f>
        <v>46.8</v>
      </c>
    </row>
    <row r="30" spans="1:20" ht="15.75" x14ac:dyDescent="0.25">
      <c r="A30" s="44">
        <v>15</v>
      </c>
      <c r="B30" t="s">
        <v>145</v>
      </c>
      <c r="C30" s="5">
        <v>34.200000000000003</v>
      </c>
      <c r="D30" s="5">
        <v>45.4</v>
      </c>
      <c r="E30">
        <v>18</v>
      </c>
      <c r="F30">
        <v>1.71</v>
      </c>
      <c r="G30" s="5">
        <v>21.72</v>
      </c>
      <c r="H30" s="24" t="s">
        <v>102</v>
      </c>
      <c r="I30" s="1">
        <f t="shared" si="0"/>
        <v>22824.639999999999</v>
      </c>
      <c r="J30" s="1">
        <f t="shared" si="1"/>
        <v>29478.02</v>
      </c>
      <c r="K30" s="1">
        <f t="shared" si="2"/>
        <v>1473.9</v>
      </c>
      <c r="L30" s="14">
        <f t="shared" si="3"/>
        <v>122.83</v>
      </c>
      <c r="M30" s="1">
        <f t="shared" si="4"/>
        <v>41.04</v>
      </c>
      <c r="N30" s="13">
        <f t="shared" si="5"/>
        <v>41.04</v>
      </c>
      <c r="O30" s="2">
        <v>39</v>
      </c>
      <c r="P30" s="6">
        <f t="shared" si="6"/>
        <v>14.04</v>
      </c>
      <c r="Q30" s="6">
        <f>SUM(Tabuľka8[[#This Row],[Stĺpec15]]-Tabuľka8[[#This Row],[Stĺpec3]])</f>
        <v>4.8</v>
      </c>
      <c r="T30" s="7">
        <f>Tabuľka8[[#This Row],[Stĺpec15]]*1.2</f>
        <v>46.8</v>
      </c>
    </row>
    <row r="31" spans="1:20" ht="15.75" x14ac:dyDescent="0.25">
      <c r="A31" s="44">
        <v>16</v>
      </c>
      <c r="B31" t="s">
        <v>146</v>
      </c>
      <c r="C31" s="5">
        <v>32.54</v>
      </c>
      <c r="D31" s="5">
        <v>69.25</v>
      </c>
      <c r="E31">
        <v>18</v>
      </c>
      <c r="F31">
        <v>1.71</v>
      </c>
      <c r="G31" s="5">
        <v>21.72</v>
      </c>
      <c r="H31" s="24" t="s">
        <v>102</v>
      </c>
      <c r="I31" s="1">
        <f t="shared" si="0"/>
        <v>22824.639999999999</v>
      </c>
      <c r="J31" s="1">
        <f t="shared" si="1"/>
        <v>29478.02</v>
      </c>
      <c r="K31" s="1">
        <f t="shared" si="2"/>
        <v>1473.9</v>
      </c>
      <c r="L31" s="14">
        <f t="shared" si="3"/>
        <v>122.83</v>
      </c>
      <c r="M31" s="1">
        <f t="shared" si="4"/>
        <v>39.049999999999997</v>
      </c>
      <c r="N31" s="13">
        <f t="shared" si="5"/>
        <v>39.049999999999997</v>
      </c>
      <c r="O31" s="2">
        <v>39</v>
      </c>
      <c r="P31" s="6">
        <f t="shared" si="6"/>
        <v>19.850000000000001</v>
      </c>
      <c r="Q31" s="6">
        <f>SUM(Tabuľka8[[#This Row],[Stĺpec15]]-Tabuľka8[[#This Row],[Stĺpec3]])</f>
        <v>6.46</v>
      </c>
      <c r="T31" s="7">
        <f>Tabuľka8[[#This Row],[Stĺpec15]]*1.2</f>
        <v>46.8</v>
      </c>
    </row>
    <row r="32" spans="1:20" ht="15.75" x14ac:dyDescent="0.25">
      <c r="A32" s="44">
        <v>17</v>
      </c>
      <c r="B32" t="s">
        <v>147</v>
      </c>
      <c r="C32" s="5">
        <v>34.200000000000003</v>
      </c>
      <c r="D32" s="5">
        <v>56.84</v>
      </c>
      <c r="E32">
        <v>18</v>
      </c>
      <c r="F32">
        <v>1.71</v>
      </c>
      <c r="G32" s="5">
        <v>21.72</v>
      </c>
      <c r="H32" s="24" t="s">
        <v>102</v>
      </c>
      <c r="I32" s="1">
        <f t="shared" si="0"/>
        <v>22824.639999999999</v>
      </c>
      <c r="J32" s="1">
        <f t="shared" si="1"/>
        <v>29478.02</v>
      </c>
      <c r="K32" s="1">
        <f t="shared" si="2"/>
        <v>1473.9</v>
      </c>
      <c r="L32" s="14">
        <f t="shared" si="3"/>
        <v>122.83</v>
      </c>
      <c r="M32" s="1">
        <f t="shared" si="4"/>
        <v>41.04</v>
      </c>
      <c r="N32" s="13">
        <f t="shared" si="5"/>
        <v>41.04</v>
      </c>
      <c r="O32" s="2">
        <v>39</v>
      </c>
      <c r="P32" s="6">
        <f t="shared" si="6"/>
        <v>14.04</v>
      </c>
      <c r="Q32" s="6">
        <f>SUM(Tabuľka8[[#This Row],[Stĺpec15]]-Tabuľka8[[#This Row],[Stĺpec3]])</f>
        <v>4.8</v>
      </c>
      <c r="T32" s="7">
        <f>Tabuľka8[[#This Row],[Stĺpec15]]*1.2</f>
        <v>46.8</v>
      </c>
    </row>
    <row r="33" spans="1:20" ht="15.75" x14ac:dyDescent="0.25">
      <c r="A33" s="44">
        <v>18</v>
      </c>
      <c r="B33" t="s">
        <v>148</v>
      </c>
      <c r="C33" s="5">
        <v>32.54</v>
      </c>
      <c r="D33" s="5">
        <v>57.84</v>
      </c>
      <c r="E33">
        <v>18</v>
      </c>
      <c r="F33">
        <v>1.71</v>
      </c>
      <c r="G33" s="5">
        <v>21.72</v>
      </c>
      <c r="H33" s="24" t="s">
        <v>102</v>
      </c>
      <c r="I33" s="1">
        <f t="shared" si="0"/>
        <v>22824.639999999999</v>
      </c>
      <c r="J33" s="1">
        <f t="shared" si="1"/>
        <v>29478.02</v>
      </c>
      <c r="K33" s="1">
        <f t="shared" si="2"/>
        <v>1473.9</v>
      </c>
      <c r="L33" s="14">
        <f t="shared" si="3"/>
        <v>122.83</v>
      </c>
      <c r="M33" s="1">
        <f t="shared" si="4"/>
        <v>39.049999999999997</v>
      </c>
      <c r="N33" s="13">
        <f t="shared" si="5"/>
        <v>39.049999999999997</v>
      </c>
      <c r="O33" s="2">
        <v>39</v>
      </c>
      <c r="P33" s="6">
        <f t="shared" si="6"/>
        <v>19.850000000000001</v>
      </c>
      <c r="Q33" s="6">
        <f>SUM(Tabuľka8[[#This Row],[Stĺpec15]]-Tabuľka8[[#This Row],[Stĺpec3]])</f>
        <v>6.46</v>
      </c>
      <c r="T33" s="7">
        <f>Tabuľka8[[#This Row],[Stĺpec15]]*1.2</f>
        <v>46.8</v>
      </c>
    </row>
    <row r="34" spans="1:20" ht="15.75" x14ac:dyDescent="0.25">
      <c r="A34" s="44">
        <v>19</v>
      </c>
      <c r="B34" t="s">
        <v>149</v>
      </c>
      <c r="C34" s="5">
        <v>34.200000000000003</v>
      </c>
      <c r="D34" s="5">
        <v>59.65</v>
      </c>
      <c r="E34">
        <v>18</v>
      </c>
      <c r="F34">
        <v>1.71</v>
      </c>
      <c r="G34" s="5">
        <v>21.72</v>
      </c>
      <c r="H34" s="24" t="s">
        <v>102</v>
      </c>
      <c r="I34" s="1">
        <f t="shared" si="0"/>
        <v>22824.639999999999</v>
      </c>
      <c r="J34" s="1">
        <f t="shared" si="1"/>
        <v>29478.02</v>
      </c>
      <c r="K34" s="1">
        <f t="shared" si="2"/>
        <v>1473.9</v>
      </c>
      <c r="L34" s="14">
        <f t="shared" si="3"/>
        <v>122.83</v>
      </c>
      <c r="M34" s="1">
        <f t="shared" si="4"/>
        <v>41.04</v>
      </c>
      <c r="N34" s="13">
        <f t="shared" si="5"/>
        <v>41.04</v>
      </c>
      <c r="O34" s="2">
        <v>39</v>
      </c>
      <c r="P34" s="6">
        <f t="shared" si="6"/>
        <v>14.04</v>
      </c>
      <c r="Q34" s="6">
        <f>SUM(Tabuľka8[[#This Row],[Stĺpec15]]-Tabuľka8[[#This Row],[Stĺpec3]])</f>
        <v>4.8</v>
      </c>
      <c r="T34" s="7">
        <f>Tabuľka8[[#This Row],[Stĺpec15]]*1.2</f>
        <v>46.8</v>
      </c>
    </row>
    <row r="35" spans="1:20" ht="15.75" x14ac:dyDescent="0.25">
      <c r="A35" s="44">
        <v>20</v>
      </c>
      <c r="B35" t="s">
        <v>150</v>
      </c>
      <c r="C35" s="5">
        <v>32.54</v>
      </c>
      <c r="D35" s="5">
        <v>66.94</v>
      </c>
      <c r="E35">
        <v>18</v>
      </c>
      <c r="F35">
        <v>1.71</v>
      </c>
      <c r="G35" s="5">
        <v>21.72</v>
      </c>
      <c r="H35" s="24" t="s">
        <v>102</v>
      </c>
      <c r="I35" s="1">
        <f t="shared" si="0"/>
        <v>22824.639999999999</v>
      </c>
      <c r="J35" s="1">
        <f t="shared" si="1"/>
        <v>29478.02</v>
      </c>
      <c r="K35" s="1">
        <f t="shared" si="2"/>
        <v>1473.9</v>
      </c>
      <c r="L35" s="14">
        <f t="shared" si="3"/>
        <v>122.83</v>
      </c>
      <c r="M35" s="1">
        <f t="shared" si="4"/>
        <v>39.049999999999997</v>
      </c>
      <c r="N35" s="13">
        <f t="shared" si="5"/>
        <v>39.049999999999997</v>
      </c>
      <c r="O35" s="2">
        <v>39</v>
      </c>
      <c r="P35" s="6">
        <f t="shared" si="6"/>
        <v>19.850000000000001</v>
      </c>
      <c r="Q35" s="6">
        <f>SUM(Tabuľka8[[#This Row],[Stĺpec15]]-Tabuľka8[[#This Row],[Stĺpec3]])</f>
        <v>6.46</v>
      </c>
      <c r="T35" s="7">
        <f>Tabuľka8[[#This Row],[Stĺpec15]]*1.2</f>
        <v>46.8</v>
      </c>
    </row>
    <row r="36" spans="1:20" ht="15.75" x14ac:dyDescent="0.25">
      <c r="A36" s="44">
        <v>21</v>
      </c>
      <c r="B36" t="s">
        <v>151</v>
      </c>
      <c r="C36" s="5">
        <v>34.200000000000003</v>
      </c>
      <c r="D36" s="5">
        <v>44.73</v>
      </c>
      <c r="E36">
        <v>18</v>
      </c>
      <c r="F36">
        <v>1.71</v>
      </c>
      <c r="G36" s="5">
        <v>21.72</v>
      </c>
      <c r="H36" s="24" t="s">
        <v>102</v>
      </c>
      <c r="I36" s="1">
        <f t="shared" si="0"/>
        <v>22824.639999999999</v>
      </c>
      <c r="J36" s="1">
        <f t="shared" si="1"/>
        <v>29478.02</v>
      </c>
      <c r="K36" s="1">
        <f t="shared" si="2"/>
        <v>1473.9</v>
      </c>
      <c r="L36" s="14">
        <f t="shared" si="3"/>
        <v>122.83</v>
      </c>
      <c r="M36" s="1">
        <f t="shared" si="4"/>
        <v>41.04</v>
      </c>
      <c r="N36" s="13">
        <f t="shared" si="5"/>
        <v>41.04</v>
      </c>
      <c r="O36" s="2">
        <v>39</v>
      </c>
      <c r="P36" s="6">
        <f t="shared" si="6"/>
        <v>14.04</v>
      </c>
      <c r="Q36" s="6">
        <f>SUM(Tabuľka8[[#This Row],[Stĺpec15]]-Tabuľka8[[#This Row],[Stĺpec3]])</f>
        <v>4.8</v>
      </c>
      <c r="T36" s="7">
        <f>Tabuľka8[[#This Row],[Stĺpec15]]*1.2</f>
        <v>46.8</v>
      </c>
    </row>
    <row r="37" spans="1:20" ht="15.75" x14ac:dyDescent="0.25">
      <c r="A37" s="44">
        <v>22</v>
      </c>
      <c r="B37" t="s">
        <v>152</v>
      </c>
      <c r="C37" s="5">
        <v>32.54</v>
      </c>
      <c r="D37" s="5">
        <v>84.18</v>
      </c>
      <c r="E37">
        <v>18</v>
      </c>
      <c r="F37">
        <v>1.71</v>
      </c>
      <c r="G37" s="5">
        <v>21.72</v>
      </c>
      <c r="H37" s="24" t="s">
        <v>102</v>
      </c>
      <c r="I37" s="1">
        <f t="shared" si="0"/>
        <v>22824.639999999999</v>
      </c>
      <c r="J37" s="1">
        <f t="shared" si="1"/>
        <v>29478.02</v>
      </c>
      <c r="K37" s="1">
        <f t="shared" si="2"/>
        <v>1473.9</v>
      </c>
      <c r="L37" s="14">
        <f t="shared" si="3"/>
        <v>122.83</v>
      </c>
      <c r="M37" s="1">
        <f t="shared" si="4"/>
        <v>39.049999999999997</v>
      </c>
      <c r="N37" s="13">
        <f t="shared" si="5"/>
        <v>39.049999999999997</v>
      </c>
      <c r="O37" s="2">
        <v>39</v>
      </c>
      <c r="P37" s="6">
        <f t="shared" si="6"/>
        <v>19.850000000000001</v>
      </c>
      <c r="Q37" s="6">
        <f>SUM(Tabuľka8[[#This Row],[Stĺpec15]]-Tabuľka8[[#This Row],[Stĺpec3]])</f>
        <v>6.46</v>
      </c>
      <c r="T37" s="7">
        <f>Tabuľka8[[#This Row],[Stĺpec15]]*1.2</f>
        <v>46.8</v>
      </c>
    </row>
    <row r="38" spans="1:20" ht="15.75" x14ac:dyDescent="0.25">
      <c r="A38" s="44">
        <v>23</v>
      </c>
      <c r="B38" t="s">
        <v>153</v>
      </c>
      <c r="C38" s="5">
        <v>32.54</v>
      </c>
      <c r="D38" s="5">
        <v>48.54</v>
      </c>
      <c r="E38">
        <v>18</v>
      </c>
      <c r="F38">
        <v>1.71</v>
      </c>
      <c r="G38" s="5">
        <v>21.72</v>
      </c>
      <c r="H38" s="24" t="s">
        <v>102</v>
      </c>
      <c r="I38" s="1">
        <f t="shared" si="0"/>
        <v>22824.639999999999</v>
      </c>
      <c r="J38" s="1">
        <f t="shared" si="1"/>
        <v>29478.02</v>
      </c>
      <c r="K38" s="1">
        <f t="shared" si="2"/>
        <v>1473.9</v>
      </c>
      <c r="L38" s="14">
        <f t="shared" si="3"/>
        <v>122.83</v>
      </c>
      <c r="M38" s="1">
        <f t="shared" si="4"/>
        <v>39.049999999999997</v>
      </c>
      <c r="N38" s="13">
        <f t="shared" si="5"/>
        <v>39.049999999999997</v>
      </c>
      <c r="O38" s="2">
        <v>39</v>
      </c>
      <c r="P38" s="6">
        <f t="shared" si="6"/>
        <v>19.850000000000001</v>
      </c>
      <c r="Q38" s="6">
        <f>SUM(Tabuľka8[[#This Row],[Stĺpec15]]-Tabuľka8[[#This Row],[Stĺpec3]])</f>
        <v>6.46</v>
      </c>
      <c r="T38" s="7">
        <f>Tabuľka8[[#This Row],[Stĺpec15]]*1.2</f>
        <v>46.8</v>
      </c>
    </row>
    <row r="39" spans="1:20" ht="15.75" x14ac:dyDescent="0.25">
      <c r="A39" s="44">
        <v>24</v>
      </c>
      <c r="B39" s="10" t="s">
        <v>8</v>
      </c>
      <c r="C39" s="5">
        <v>34.200000000000003</v>
      </c>
      <c r="D39" s="5">
        <v>0</v>
      </c>
      <c r="E39">
        <v>18</v>
      </c>
      <c r="F39">
        <v>1.71</v>
      </c>
      <c r="G39" s="5">
        <v>21.72</v>
      </c>
      <c r="H39" s="24" t="s">
        <v>102</v>
      </c>
      <c r="I39" s="1">
        <f t="shared" si="0"/>
        <v>22824.639999999999</v>
      </c>
      <c r="J39" s="1">
        <f t="shared" si="1"/>
        <v>29478.02</v>
      </c>
      <c r="K39" s="1">
        <f t="shared" si="2"/>
        <v>1473.9</v>
      </c>
      <c r="L39" s="14">
        <f t="shared" si="3"/>
        <v>122.83</v>
      </c>
      <c r="M39" s="1">
        <f t="shared" si="4"/>
        <v>41.04</v>
      </c>
      <c r="N39" s="13">
        <f t="shared" si="5"/>
        <v>41.04</v>
      </c>
      <c r="O39" s="2">
        <v>39</v>
      </c>
      <c r="P39" s="6">
        <f t="shared" si="6"/>
        <v>14.04</v>
      </c>
      <c r="Q39" s="6">
        <f>SUM(Tabuľka8[[#This Row],[Stĺpec15]]-Tabuľka8[[#This Row],[Stĺpec3]])</f>
        <v>4.8</v>
      </c>
      <c r="T39" s="7">
        <f>Tabuľka8[[#This Row],[Stĺpec15]]*1.2</f>
        <v>46.8</v>
      </c>
    </row>
    <row r="40" spans="1:20" ht="15.75" x14ac:dyDescent="0.25">
      <c r="A40" s="44">
        <v>25</v>
      </c>
      <c r="B40" t="s">
        <v>154</v>
      </c>
      <c r="C40" s="5">
        <v>34.200000000000003</v>
      </c>
      <c r="D40" s="5">
        <v>83.88</v>
      </c>
      <c r="E40">
        <v>18</v>
      </c>
      <c r="F40">
        <v>1.71</v>
      </c>
      <c r="G40" s="5">
        <v>21.72</v>
      </c>
      <c r="H40" s="24" t="s">
        <v>102</v>
      </c>
      <c r="I40" s="1">
        <f t="shared" si="0"/>
        <v>22824.639999999999</v>
      </c>
      <c r="J40" s="1">
        <f t="shared" si="1"/>
        <v>29478.02</v>
      </c>
      <c r="K40" s="1">
        <f t="shared" si="2"/>
        <v>1473.9</v>
      </c>
      <c r="L40" s="14">
        <f t="shared" si="3"/>
        <v>122.83</v>
      </c>
      <c r="M40" s="1">
        <f t="shared" si="4"/>
        <v>41.04</v>
      </c>
      <c r="N40" s="13">
        <f t="shared" si="5"/>
        <v>41.04</v>
      </c>
      <c r="O40" s="2">
        <v>39</v>
      </c>
      <c r="P40" s="6">
        <f t="shared" si="6"/>
        <v>14.04</v>
      </c>
      <c r="Q40" s="6">
        <f>SUM(Tabuľka8[[#This Row],[Stĺpec15]]-Tabuľka8[[#This Row],[Stĺpec3]])</f>
        <v>4.8</v>
      </c>
      <c r="T40" s="7">
        <f>Tabuľka8[[#This Row],[Stĺpec15]]*1.2</f>
        <v>46.8</v>
      </c>
    </row>
    <row r="41" spans="1:20" ht="15.75" x14ac:dyDescent="0.25">
      <c r="A41" s="44">
        <v>26</v>
      </c>
      <c r="B41" s="10" t="s">
        <v>8</v>
      </c>
      <c r="C41" s="5">
        <v>34.200000000000003</v>
      </c>
      <c r="D41" s="5">
        <v>0</v>
      </c>
      <c r="E41">
        <v>18</v>
      </c>
      <c r="F41">
        <v>1.71</v>
      </c>
      <c r="G41" s="5">
        <v>21.72</v>
      </c>
      <c r="H41" s="24" t="s">
        <v>102</v>
      </c>
      <c r="I41" s="1">
        <f t="shared" si="0"/>
        <v>22824.639999999999</v>
      </c>
      <c r="J41" s="1">
        <f t="shared" si="1"/>
        <v>29478.02</v>
      </c>
      <c r="K41" s="1">
        <f t="shared" si="2"/>
        <v>1473.9</v>
      </c>
      <c r="L41" s="14">
        <f t="shared" si="3"/>
        <v>122.83</v>
      </c>
      <c r="M41" s="1">
        <f t="shared" si="4"/>
        <v>41.04</v>
      </c>
      <c r="N41" s="13">
        <f t="shared" si="5"/>
        <v>41.04</v>
      </c>
      <c r="O41" s="2">
        <v>39</v>
      </c>
      <c r="P41" s="6">
        <f t="shared" si="6"/>
        <v>14.04</v>
      </c>
      <c r="Q41" s="6">
        <f>SUM(Tabuľka8[[#This Row],[Stĺpec15]]-Tabuľka8[[#This Row],[Stĺpec3]])</f>
        <v>4.8</v>
      </c>
      <c r="T41" s="7">
        <f>Tabuľka8[[#This Row],[Stĺpec15]]*1.2</f>
        <v>46.8</v>
      </c>
    </row>
    <row r="42" spans="1:20" ht="15.75" x14ac:dyDescent="0.25">
      <c r="A42" s="44">
        <v>27</v>
      </c>
      <c r="B42" s="10" t="s">
        <v>8</v>
      </c>
      <c r="C42" s="5">
        <v>34.200000000000003</v>
      </c>
      <c r="D42" s="5">
        <v>0</v>
      </c>
      <c r="E42">
        <v>18</v>
      </c>
      <c r="F42">
        <v>1.71</v>
      </c>
      <c r="G42" s="5">
        <v>21.72</v>
      </c>
      <c r="H42" s="24" t="s">
        <v>102</v>
      </c>
      <c r="I42" s="1">
        <f t="shared" si="0"/>
        <v>22824.639999999999</v>
      </c>
      <c r="J42" s="1">
        <f t="shared" si="1"/>
        <v>29478.02</v>
      </c>
      <c r="K42" s="1">
        <f t="shared" si="2"/>
        <v>1473.9</v>
      </c>
      <c r="L42" s="14">
        <f t="shared" si="3"/>
        <v>122.83</v>
      </c>
      <c r="M42" s="1">
        <f t="shared" si="4"/>
        <v>41.04</v>
      </c>
      <c r="N42" s="13">
        <f t="shared" si="5"/>
        <v>41.04</v>
      </c>
      <c r="O42" s="2">
        <v>39</v>
      </c>
      <c r="P42" s="6">
        <f t="shared" si="6"/>
        <v>14.04</v>
      </c>
      <c r="Q42" s="6">
        <f>SUM(Tabuľka8[[#This Row],[Stĺpec15]]-Tabuľka8[[#This Row],[Stĺpec3]])</f>
        <v>4.8</v>
      </c>
      <c r="T42" s="7">
        <f>Tabuľka8[[#This Row],[Stĺpec15]]*1.2</f>
        <v>46.8</v>
      </c>
    </row>
    <row r="43" spans="1:20" ht="15.75" x14ac:dyDescent="0.25">
      <c r="A43" s="44">
        <v>28</v>
      </c>
      <c r="B43" s="10" t="s">
        <v>8</v>
      </c>
      <c r="C43" s="5">
        <v>34.200000000000003</v>
      </c>
      <c r="D43" s="5">
        <v>0</v>
      </c>
      <c r="E43">
        <v>18</v>
      </c>
      <c r="F43">
        <v>1.71</v>
      </c>
      <c r="G43" s="5">
        <v>21.72</v>
      </c>
      <c r="H43" s="24" t="s">
        <v>102</v>
      </c>
      <c r="I43" s="1">
        <f t="shared" si="0"/>
        <v>22824.639999999999</v>
      </c>
      <c r="J43" s="1">
        <f t="shared" si="1"/>
        <v>29478.02</v>
      </c>
      <c r="K43" s="1">
        <f t="shared" si="2"/>
        <v>1473.9</v>
      </c>
      <c r="L43" s="14">
        <f t="shared" si="3"/>
        <v>122.83</v>
      </c>
      <c r="M43" s="1">
        <f t="shared" si="4"/>
        <v>41.04</v>
      </c>
      <c r="N43" s="13">
        <f t="shared" si="5"/>
        <v>41.04</v>
      </c>
      <c r="O43" s="2">
        <v>39</v>
      </c>
      <c r="P43" s="6">
        <f t="shared" si="6"/>
        <v>14.04</v>
      </c>
      <c r="Q43" s="6">
        <f>SUM(Tabuľka8[[#This Row],[Stĺpec15]]-Tabuľka8[[#This Row],[Stĺpec3]])</f>
        <v>4.8</v>
      </c>
      <c r="T43" s="7">
        <f>Tabuľka8[[#This Row],[Stĺpec15]]*1.2</f>
        <v>46.8</v>
      </c>
    </row>
    <row r="44" spans="1:20" ht="15.75" x14ac:dyDescent="0.25">
      <c r="A44" s="44">
        <v>29</v>
      </c>
      <c r="B44" s="10" t="s">
        <v>8</v>
      </c>
      <c r="C44" s="5">
        <v>34.200000000000003</v>
      </c>
      <c r="D44" s="5">
        <v>0</v>
      </c>
      <c r="E44">
        <v>18</v>
      </c>
      <c r="F44">
        <v>1.71</v>
      </c>
      <c r="G44" s="5">
        <v>21.72</v>
      </c>
      <c r="H44" s="24" t="s">
        <v>102</v>
      </c>
      <c r="I44" s="1">
        <f t="shared" si="0"/>
        <v>22824.639999999999</v>
      </c>
      <c r="J44" s="1">
        <f t="shared" si="1"/>
        <v>29478.02</v>
      </c>
      <c r="K44" s="1">
        <f t="shared" si="2"/>
        <v>1473.9</v>
      </c>
      <c r="L44" s="14">
        <f t="shared" si="3"/>
        <v>122.83</v>
      </c>
      <c r="M44" s="1">
        <f t="shared" si="4"/>
        <v>41.04</v>
      </c>
      <c r="N44" s="13">
        <f t="shared" si="5"/>
        <v>41.04</v>
      </c>
      <c r="O44" s="2">
        <v>39</v>
      </c>
      <c r="P44" s="6">
        <f t="shared" si="6"/>
        <v>14.04</v>
      </c>
      <c r="Q44" s="6">
        <f>SUM(Tabuľka8[[#This Row],[Stĺpec15]]-Tabuľka8[[#This Row],[Stĺpec3]])</f>
        <v>4.8</v>
      </c>
      <c r="T44" s="7">
        <f>Tabuľka8[[#This Row],[Stĺpec15]]*1.2</f>
        <v>46.8</v>
      </c>
    </row>
    <row r="45" spans="1:20" ht="15.75" x14ac:dyDescent="0.25">
      <c r="A45" s="44">
        <v>30</v>
      </c>
      <c r="B45" t="s">
        <v>155</v>
      </c>
      <c r="C45" s="5">
        <v>32.54</v>
      </c>
      <c r="D45" s="5">
        <v>51.99</v>
      </c>
      <c r="E45">
        <v>18</v>
      </c>
      <c r="F45">
        <v>1.71</v>
      </c>
      <c r="G45" s="5">
        <v>21.72</v>
      </c>
      <c r="H45" s="24" t="s">
        <v>102</v>
      </c>
      <c r="I45" s="1">
        <f t="shared" si="0"/>
        <v>22824.639999999999</v>
      </c>
      <c r="J45" s="1">
        <f t="shared" si="1"/>
        <v>29478.02</v>
      </c>
      <c r="K45" s="1">
        <f t="shared" si="2"/>
        <v>1473.9</v>
      </c>
      <c r="L45" s="14">
        <f t="shared" si="3"/>
        <v>122.83</v>
      </c>
      <c r="M45" s="1">
        <f t="shared" si="4"/>
        <v>39.049999999999997</v>
      </c>
      <c r="N45" s="13">
        <f t="shared" si="5"/>
        <v>39.049999999999997</v>
      </c>
      <c r="O45" s="2">
        <v>39</v>
      </c>
      <c r="P45" s="6">
        <f t="shared" si="6"/>
        <v>19.850000000000001</v>
      </c>
      <c r="Q45" s="6">
        <f>SUM(Tabuľka8[[#This Row],[Stĺpec15]]-Tabuľka8[[#This Row],[Stĺpec3]])</f>
        <v>6.46</v>
      </c>
      <c r="T45" s="7">
        <f>Tabuľka8[[#This Row],[Stĺpec15]]*1.2</f>
        <v>46.8</v>
      </c>
    </row>
    <row r="46" spans="1:20" ht="15.75" x14ac:dyDescent="0.25">
      <c r="A46" s="44">
        <v>31</v>
      </c>
      <c r="B46" t="s">
        <v>156</v>
      </c>
      <c r="C46" s="5">
        <v>32.54</v>
      </c>
      <c r="D46" s="5">
        <v>97.94</v>
      </c>
      <c r="E46">
        <v>18</v>
      </c>
      <c r="F46">
        <v>1.71</v>
      </c>
      <c r="G46" s="5">
        <v>21.72</v>
      </c>
      <c r="H46" s="24" t="s">
        <v>57</v>
      </c>
      <c r="I46" s="1">
        <f t="shared" si="0"/>
        <v>22824.639999999999</v>
      </c>
      <c r="J46" s="1">
        <f t="shared" si="1"/>
        <v>29478.02</v>
      </c>
      <c r="K46" s="1">
        <f t="shared" si="2"/>
        <v>1473.9</v>
      </c>
      <c r="L46" s="14">
        <f t="shared" si="3"/>
        <v>122.83</v>
      </c>
      <c r="M46" s="1">
        <f t="shared" si="4"/>
        <v>39.049999999999997</v>
      </c>
      <c r="N46" s="13">
        <f t="shared" si="5"/>
        <v>39.049999999999997</v>
      </c>
      <c r="O46" s="2">
        <v>39</v>
      </c>
      <c r="P46" s="6">
        <f t="shared" si="6"/>
        <v>19.850000000000001</v>
      </c>
      <c r="Q46" s="6">
        <f>SUM(Tabuľka8[[#This Row],[Stĺpec15]]-Tabuľka8[[#This Row],[Stĺpec3]])</f>
        <v>6.46</v>
      </c>
      <c r="T46" s="7">
        <f>Tabuľka8[[#This Row],[Stĺpec15]]*1.2</f>
        <v>46.8</v>
      </c>
    </row>
    <row r="47" spans="1:20" ht="15.75" x14ac:dyDescent="0.25">
      <c r="A47" s="44">
        <v>32</v>
      </c>
      <c r="B47" t="s">
        <v>157</v>
      </c>
      <c r="C47" s="5">
        <v>34.200000000000003</v>
      </c>
      <c r="D47" s="5">
        <v>54.81</v>
      </c>
      <c r="E47">
        <v>18</v>
      </c>
      <c r="F47">
        <v>1.71</v>
      </c>
      <c r="G47" s="5">
        <v>21.72</v>
      </c>
      <c r="H47" s="24" t="s">
        <v>102</v>
      </c>
      <c r="I47" s="1">
        <f t="shared" si="0"/>
        <v>22824.639999999999</v>
      </c>
      <c r="J47" s="1">
        <f t="shared" si="1"/>
        <v>29478.02</v>
      </c>
      <c r="K47" s="1">
        <f t="shared" si="2"/>
        <v>1473.9</v>
      </c>
      <c r="L47" s="14">
        <f t="shared" si="3"/>
        <v>122.83</v>
      </c>
      <c r="M47" s="1">
        <f t="shared" si="4"/>
        <v>41.04</v>
      </c>
      <c r="N47" s="13">
        <f t="shared" si="5"/>
        <v>41.04</v>
      </c>
      <c r="O47" s="2">
        <v>39</v>
      </c>
      <c r="P47" s="6">
        <f t="shared" si="6"/>
        <v>14.04</v>
      </c>
      <c r="Q47" s="6">
        <f>SUM(Tabuľka8[[#This Row],[Stĺpec15]]-Tabuľka8[[#This Row],[Stĺpec3]])</f>
        <v>4.8</v>
      </c>
      <c r="T47" s="7">
        <f>Tabuľka8[[#This Row],[Stĺpec15]]*1.2</f>
        <v>46.8</v>
      </c>
    </row>
    <row r="48" spans="1:20" ht="15.75" x14ac:dyDescent="0.25">
      <c r="A48" s="44">
        <v>33</v>
      </c>
      <c r="B48" t="s">
        <v>158</v>
      </c>
      <c r="C48" s="5">
        <v>32.54</v>
      </c>
      <c r="D48" s="5">
        <v>49.61</v>
      </c>
      <c r="E48">
        <v>18</v>
      </c>
      <c r="F48">
        <v>1.71</v>
      </c>
      <c r="G48" s="5">
        <v>21.72</v>
      </c>
      <c r="H48" s="24" t="s">
        <v>102</v>
      </c>
      <c r="I48" s="1">
        <f t="shared" ref="I48:I67" si="7">SUM(G48*$I$9)</f>
        <v>22824.639999999999</v>
      </c>
      <c r="J48" s="1">
        <f t="shared" si="1"/>
        <v>29478.02</v>
      </c>
      <c r="K48" s="1">
        <f t="shared" si="2"/>
        <v>1473.9</v>
      </c>
      <c r="L48" s="14">
        <f t="shared" si="3"/>
        <v>122.83</v>
      </c>
      <c r="M48" s="1">
        <f t="shared" si="4"/>
        <v>39.049999999999997</v>
      </c>
      <c r="N48" s="13">
        <f t="shared" si="5"/>
        <v>39.049999999999997</v>
      </c>
      <c r="O48" s="2">
        <v>39</v>
      </c>
      <c r="P48" s="6">
        <f t="shared" si="6"/>
        <v>19.850000000000001</v>
      </c>
      <c r="Q48" s="6">
        <f>SUM(Tabuľka8[[#This Row],[Stĺpec15]]-Tabuľka8[[#This Row],[Stĺpec3]])</f>
        <v>6.46</v>
      </c>
      <c r="T48" s="7">
        <f>Tabuľka8[[#This Row],[Stĺpec15]]*1.2</f>
        <v>46.8</v>
      </c>
    </row>
    <row r="49" spans="1:20" ht="15.75" x14ac:dyDescent="0.25">
      <c r="A49" s="44">
        <v>34</v>
      </c>
      <c r="B49" t="s">
        <v>159</v>
      </c>
      <c r="C49" s="5">
        <v>34.200000000000003</v>
      </c>
      <c r="D49" s="5">
        <v>54.44</v>
      </c>
      <c r="E49">
        <v>18</v>
      </c>
      <c r="F49">
        <v>1.71</v>
      </c>
      <c r="G49" s="5">
        <v>21.72</v>
      </c>
      <c r="H49" s="24" t="s">
        <v>102</v>
      </c>
      <c r="I49" s="1">
        <f t="shared" si="7"/>
        <v>22824.639999999999</v>
      </c>
      <c r="J49" s="1">
        <f t="shared" si="1"/>
        <v>29478.02</v>
      </c>
      <c r="K49" s="1">
        <f t="shared" si="2"/>
        <v>1473.9</v>
      </c>
      <c r="L49" s="14">
        <f t="shared" si="3"/>
        <v>122.83</v>
      </c>
      <c r="M49" s="1">
        <f t="shared" si="4"/>
        <v>41.04</v>
      </c>
      <c r="N49" s="13">
        <f t="shared" si="5"/>
        <v>41.04</v>
      </c>
      <c r="O49" s="2">
        <v>39</v>
      </c>
      <c r="P49" s="6">
        <f t="shared" si="6"/>
        <v>14.04</v>
      </c>
      <c r="Q49" s="6">
        <f>SUM(Tabuľka8[[#This Row],[Stĺpec15]]-Tabuľka8[[#This Row],[Stĺpec3]])</f>
        <v>4.8</v>
      </c>
      <c r="T49" s="7">
        <f>Tabuľka8[[#This Row],[Stĺpec15]]*1.2</f>
        <v>46.8</v>
      </c>
    </row>
    <row r="50" spans="1:20" ht="15.75" x14ac:dyDescent="0.25">
      <c r="A50" s="44">
        <v>35</v>
      </c>
      <c r="B50" t="s">
        <v>160</v>
      </c>
      <c r="C50" s="5">
        <v>32.54</v>
      </c>
      <c r="D50" s="5">
        <v>80.3</v>
      </c>
      <c r="E50">
        <v>18</v>
      </c>
      <c r="F50">
        <v>1.71</v>
      </c>
      <c r="G50" s="5">
        <v>21.72</v>
      </c>
      <c r="H50" s="24" t="s">
        <v>102</v>
      </c>
      <c r="I50" s="1">
        <f t="shared" si="7"/>
        <v>22824.639999999999</v>
      </c>
      <c r="J50" s="1">
        <f t="shared" si="1"/>
        <v>29478.02</v>
      </c>
      <c r="K50" s="1">
        <f t="shared" si="2"/>
        <v>1473.9</v>
      </c>
      <c r="L50" s="14">
        <f t="shared" si="3"/>
        <v>122.83</v>
      </c>
      <c r="M50" s="1">
        <f t="shared" si="4"/>
        <v>39.049999999999997</v>
      </c>
      <c r="N50" s="13">
        <f t="shared" si="5"/>
        <v>39.049999999999997</v>
      </c>
      <c r="O50" s="2">
        <v>39</v>
      </c>
      <c r="P50" s="6">
        <f t="shared" si="6"/>
        <v>19.850000000000001</v>
      </c>
      <c r="Q50" s="6">
        <f>SUM(Tabuľka8[[#This Row],[Stĺpec15]]-Tabuľka8[[#This Row],[Stĺpec3]])</f>
        <v>6.46</v>
      </c>
      <c r="T50" s="7">
        <f>Tabuľka8[[#This Row],[Stĺpec15]]*1.2</f>
        <v>46.8</v>
      </c>
    </row>
    <row r="51" spans="1:20" ht="15.75" x14ac:dyDescent="0.25">
      <c r="A51" s="44">
        <v>36</v>
      </c>
      <c r="B51" t="s">
        <v>161</v>
      </c>
      <c r="C51" s="5">
        <v>32.54</v>
      </c>
      <c r="D51" s="5">
        <v>82.13</v>
      </c>
      <c r="E51">
        <v>18</v>
      </c>
      <c r="F51">
        <v>1.71</v>
      </c>
      <c r="G51" s="5">
        <v>21.72</v>
      </c>
      <c r="H51" s="24" t="s">
        <v>102</v>
      </c>
      <c r="I51" s="1">
        <f t="shared" si="7"/>
        <v>22824.639999999999</v>
      </c>
      <c r="J51" s="1">
        <f t="shared" si="1"/>
        <v>29478.02</v>
      </c>
      <c r="K51" s="1">
        <f t="shared" si="2"/>
        <v>1473.9</v>
      </c>
      <c r="L51" s="14">
        <f t="shared" si="3"/>
        <v>122.83</v>
      </c>
      <c r="M51" s="1">
        <f t="shared" si="4"/>
        <v>39.049999999999997</v>
      </c>
      <c r="N51" s="13">
        <f t="shared" si="5"/>
        <v>39.049999999999997</v>
      </c>
      <c r="O51" s="2">
        <v>39</v>
      </c>
      <c r="P51" s="6">
        <f t="shared" si="6"/>
        <v>19.850000000000001</v>
      </c>
      <c r="Q51" s="6">
        <f>SUM(Tabuľka8[[#This Row],[Stĺpec15]]-Tabuľka8[[#This Row],[Stĺpec3]])</f>
        <v>6.46</v>
      </c>
      <c r="T51" s="7">
        <f>Tabuľka8[[#This Row],[Stĺpec15]]*1.2</f>
        <v>46.8</v>
      </c>
    </row>
    <row r="52" spans="1:20" ht="15.75" x14ac:dyDescent="0.25">
      <c r="A52" s="44">
        <v>37</v>
      </c>
      <c r="B52" t="s">
        <v>162</v>
      </c>
      <c r="C52" s="5">
        <v>34.200000000000003</v>
      </c>
      <c r="D52" s="5">
        <v>90.96</v>
      </c>
      <c r="E52">
        <v>18</v>
      </c>
      <c r="F52">
        <v>1.71</v>
      </c>
      <c r="G52" s="5">
        <v>21.72</v>
      </c>
      <c r="H52" s="24" t="s">
        <v>102</v>
      </c>
      <c r="I52" s="1">
        <f t="shared" si="7"/>
        <v>22824.639999999999</v>
      </c>
      <c r="J52" s="1">
        <f t="shared" si="1"/>
        <v>29478.02</v>
      </c>
      <c r="K52" s="1">
        <f t="shared" si="2"/>
        <v>1473.9</v>
      </c>
      <c r="L52" s="14">
        <f t="shared" si="3"/>
        <v>122.83</v>
      </c>
      <c r="M52" s="1">
        <f t="shared" si="4"/>
        <v>41.04</v>
      </c>
      <c r="N52" s="13">
        <f t="shared" si="5"/>
        <v>41.04</v>
      </c>
      <c r="O52" s="2">
        <v>39</v>
      </c>
      <c r="P52" s="6">
        <f t="shared" si="6"/>
        <v>14.04</v>
      </c>
      <c r="Q52" s="6">
        <f>SUM(Tabuľka8[[#This Row],[Stĺpec15]]-Tabuľka8[[#This Row],[Stĺpec3]])</f>
        <v>4.8</v>
      </c>
      <c r="T52" s="7">
        <f>Tabuľka8[[#This Row],[Stĺpec15]]*1.2</f>
        <v>46.8</v>
      </c>
    </row>
    <row r="53" spans="1:20" ht="15.75" x14ac:dyDescent="0.25">
      <c r="A53" s="44">
        <v>38</v>
      </c>
      <c r="B53" t="s">
        <v>163</v>
      </c>
      <c r="C53" s="5">
        <v>32.54</v>
      </c>
      <c r="D53" s="5">
        <v>51.99</v>
      </c>
      <c r="E53">
        <v>18</v>
      </c>
      <c r="F53">
        <v>1.71</v>
      </c>
      <c r="G53" s="5">
        <v>21.72</v>
      </c>
      <c r="H53" s="24" t="s">
        <v>102</v>
      </c>
      <c r="I53" s="1">
        <f t="shared" si="7"/>
        <v>22824.639999999999</v>
      </c>
      <c r="J53" s="1">
        <f t="shared" si="1"/>
        <v>29478.02</v>
      </c>
      <c r="K53" s="1">
        <f t="shared" si="2"/>
        <v>1473.9</v>
      </c>
      <c r="L53" s="14">
        <f t="shared" si="3"/>
        <v>122.83</v>
      </c>
      <c r="M53" s="1">
        <f t="shared" si="4"/>
        <v>39.049999999999997</v>
      </c>
      <c r="N53" s="13">
        <f t="shared" si="5"/>
        <v>39.049999999999997</v>
      </c>
      <c r="O53" s="2">
        <v>39</v>
      </c>
      <c r="P53" s="6">
        <f t="shared" si="6"/>
        <v>19.850000000000001</v>
      </c>
      <c r="Q53" s="6">
        <f>SUM(Tabuľka8[[#This Row],[Stĺpec15]]-Tabuľka8[[#This Row],[Stĺpec3]])</f>
        <v>6.46</v>
      </c>
      <c r="T53" s="7">
        <f>Tabuľka8[[#This Row],[Stĺpec15]]*1.2</f>
        <v>46.8</v>
      </c>
    </row>
    <row r="54" spans="1:20" ht="15.75" x14ac:dyDescent="0.25">
      <c r="A54" s="44">
        <v>39</v>
      </c>
      <c r="B54" t="s">
        <v>164</v>
      </c>
      <c r="C54" s="5">
        <v>32.54</v>
      </c>
      <c r="D54" s="5">
        <v>63.12</v>
      </c>
      <c r="E54">
        <v>18</v>
      </c>
      <c r="F54">
        <v>1.71</v>
      </c>
      <c r="G54" s="5">
        <v>21.72</v>
      </c>
      <c r="H54" s="24" t="s">
        <v>102</v>
      </c>
      <c r="I54" s="1">
        <f t="shared" si="7"/>
        <v>22824.639999999999</v>
      </c>
      <c r="J54" s="1">
        <f t="shared" si="1"/>
        <v>29478.02</v>
      </c>
      <c r="K54" s="1">
        <f t="shared" si="2"/>
        <v>1473.9</v>
      </c>
      <c r="L54" s="14">
        <f t="shared" si="3"/>
        <v>122.83</v>
      </c>
      <c r="M54" s="1">
        <f t="shared" si="4"/>
        <v>39.049999999999997</v>
      </c>
      <c r="N54" s="13">
        <f t="shared" si="5"/>
        <v>39.049999999999997</v>
      </c>
      <c r="O54" s="2">
        <v>39</v>
      </c>
      <c r="P54" s="6">
        <f t="shared" si="6"/>
        <v>19.850000000000001</v>
      </c>
      <c r="Q54" s="6">
        <f>SUM(Tabuľka8[[#This Row],[Stĺpec15]]-Tabuľka8[[#This Row],[Stĺpec3]])</f>
        <v>6.46</v>
      </c>
      <c r="T54" s="7">
        <f>Tabuľka8[[#This Row],[Stĺpec15]]*1.2</f>
        <v>46.8</v>
      </c>
    </row>
    <row r="55" spans="1:20" ht="15.75" x14ac:dyDescent="0.25">
      <c r="A55" s="44">
        <v>40</v>
      </c>
      <c r="B55" s="10" t="s">
        <v>8</v>
      </c>
      <c r="C55" s="5">
        <v>34.200000000000003</v>
      </c>
      <c r="D55" s="5">
        <v>0</v>
      </c>
      <c r="E55">
        <v>18</v>
      </c>
      <c r="F55">
        <v>1.71</v>
      </c>
      <c r="G55" s="5">
        <v>21.72</v>
      </c>
      <c r="H55" s="24" t="s">
        <v>102</v>
      </c>
      <c r="I55" s="1">
        <f t="shared" si="7"/>
        <v>22824.639999999999</v>
      </c>
      <c r="J55" s="1">
        <f t="shared" si="1"/>
        <v>29478.02</v>
      </c>
      <c r="K55" s="1">
        <f t="shared" si="2"/>
        <v>1473.9</v>
      </c>
      <c r="L55" s="14">
        <f t="shared" si="3"/>
        <v>122.83</v>
      </c>
      <c r="M55" s="1">
        <f t="shared" si="4"/>
        <v>41.04</v>
      </c>
      <c r="N55" s="13">
        <f t="shared" si="5"/>
        <v>41.04</v>
      </c>
      <c r="O55" s="2">
        <v>39</v>
      </c>
      <c r="P55" s="6">
        <f t="shared" si="6"/>
        <v>14.04</v>
      </c>
      <c r="Q55" s="6">
        <f>SUM(Tabuľka8[[#This Row],[Stĺpec15]]-Tabuľka8[[#This Row],[Stĺpec3]])</f>
        <v>4.8</v>
      </c>
      <c r="T55" s="7">
        <f>Tabuľka8[[#This Row],[Stĺpec15]]*1.2</f>
        <v>46.8</v>
      </c>
    </row>
    <row r="56" spans="1:20" ht="15.75" x14ac:dyDescent="0.25">
      <c r="A56" s="44">
        <v>41</v>
      </c>
      <c r="B56" t="s">
        <v>165</v>
      </c>
      <c r="C56" s="5">
        <v>32.54</v>
      </c>
      <c r="D56" s="5">
        <v>44.54</v>
      </c>
      <c r="E56">
        <v>18</v>
      </c>
      <c r="F56">
        <v>1.71</v>
      </c>
      <c r="G56" s="5">
        <v>21.72</v>
      </c>
      <c r="H56" s="24" t="s">
        <v>102</v>
      </c>
      <c r="I56" s="1">
        <f t="shared" si="7"/>
        <v>22824.639999999999</v>
      </c>
      <c r="J56" s="1">
        <f t="shared" si="1"/>
        <v>29478.02</v>
      </c>
      <c r="K56" s="1">
        <f t="shared" si="2"/>
        <v>1473.9</v>
      </c>
      <c r="L56" s="14">
        <f t="shared" si="3"/>
        <v>122.83</v>
      </c>
      <c r="M56" s="1">
        <f t="shared" si="4"/>
        <v>39.049999999999997</v>
      </c>
      <c r="N56" s="13">
        <f t="shared" si="5"/>
        <v>39.049999999999997</v>
      </c>
      <c r="O56" s="2">
        <v>39</v>
      </c>
      <c r="P56" s="6">
        <f t="shared" si="6"/>
        <v>19.850000000000001</v>
      </c>
      <c r="Q56" s="6">
        <f>SUM(Tabuľka8[[#This Row],[Stĺpec15]]-Tabuľka8[[#This Row],[Stĺpec3]])</f>
        <v>6.46</v>
      </c>
      <c r="T56" s="7">
        <f>Tabuľka8[[#This Row],[Stĺpec15]]*1.2</f>
        <v>46.8</v>
      </c>
    </row>
    <row r="57" spans="1:20" ht="15.75" x14ac:dyDescent="0.25">
      <c r="A57" s="44">
        <v>42</v>
      </c>
      <c r="B57" t="s">
        <v>166</v>
      </c>
      <c r="C57" s="5">
        <v>34.83</v>
      </c>
      <c r="D57" s="5">
        <v>65.930000000000007</v>
      </c>
      <c r="E57">
        <v>18</v>
      </c>
      <c r="F57">
        <v>1.71</v>
      </c>
      <c r="G57" s="5">
        <v>21.72</v>
      </c>
      <c r="H57" s="24" t="s">
        <v>102</v>
      </c>
      <c r="I57" s="1">
        <f t="shared" si="7"/>
        <v>22824.639999999999</v>
      </c>
      <c r="J57" s="1">
        <f t="shared" si="1"/>
        <v>29478.02</v>
      </c>
      <c r="K57" s="1">
        <f t="shared" si="2"/>
        <v>1473.9</v>
      </c>
      <c r="L57" s="14">
        <f t="shared" si="3"/>
        <v>122.83</v>
      </c>
      <c r="M57" s="1">
        <f t="shared" si="4"/>
        <v>41.8</v>
      </c>
      <c r="N57" s="13">
        <f t="shared" si="5"/>
        <v>41.8</v>
      </c>
      <c r="O57" s="2">
        <v>39</v>
      </c>
      <c r="P57" s="6">
        <f t="shared" si="6"/>
        <v>11.97</v>
      </c>
      <c r="Q57" s="6">
        <f>SUM(Tabuľka8[[#This Row],[Stĺpec15]]-Tabuľka8[[#This Row],[Stĺpec3]])</f>
        <v>4.17</v>
      </c>
      <c r="T57" s="7">
        <f>Tabuľka8[[#This Row],[Stĺpec15]]*1.2</f>
        <v>46.8</v>
      </c>
    </row>
    <row r="58" spans="1:20" ht="15.75" x14ac:dyDescent="0.25">
      <c r="A58" s="44">
        <v>43</v>
      </c>
      <c r="B58" s="10" t="s">
        <v>8</v>
      </c>
      <c r="C58" s="5">
        <v>34.200000000000003</v>
      </c>
      <c r="D58" s="5">
        <v>0</v>
      </c>
      <c r="E58">
        <v>18</v>
      </c>
      <c r="F58">
        <v>1.71</v>
      </c>
      <c r="G58" s="5">
        <v>21.72</v>
      </c>
      <c r="H58" s="24" t="s">
        <v>102</v>
      </c>
      <c r="I58" s="1">
        <f t="shared" si="7"/>
        <v>22824.639999999999</v>
      </c>
      <c r="J58" s="1">
        <f t="shared" si="1"/>
        <v>29478.02</v>
      </c>
      <c r="K58" s="1">
        <f t="shared" si="2"/>
        <v>1473.9</v>
      </c>
      <c r="L58" s="14">
        <f t="shared" si="3"/>
        <v>122.83</v>
      </c>
      <c r="M58" s="1">
        <f t="shared" si="4"/>
        <v>41.04</v>
      </c>
      <c r="N58" s="13">
        <f t="shared" si="5"/>
        <v>41.04</v>
      </c>
      <c r="O58" s="2">
        <v>39</v>
      </c>
      <c r="P58" s="6">
        <f t="shared" si="6"/>
        <v>14.04</v>
      </c>
      <c r="Q58" s="6">
        <f>SUM(Tabuľka8[[#This Row],[Stĺpec15]]-Tabuľka8[[#This Row],[Stĺpec3]])</f>
        <v>4.8</v>
      </c>
      <c r="T58" s="7">
        <f>Tabuľka8[[#This Row],[Stĺpec15]]*1.2</f>
        <v>46.8</v>
      </c>
    </row>
    <row r="59" spans="1:20" ht="15.75" x14ac:dyDescent="0.25">
      <c r="A59" s="44">
        <v>44</v>
      </c>
      <c r="B59" s="10" t="s">
        <v>8</v>
      </c>
      <c r="C59" s="5">
        <v>34.200000000000003</v>
      </c>
      <c r="D59" s="5">
        <v>0</v>
      </c>
      <c r="E59">
        <v>18</v>
      </c>
      <c r="F59">
        <v>1.71</v>
      </c>
      <c r="G59" s="5">
        <v>21.73</v>
      </c>
      <c r="H59" s="24" t="s">
        <v>102</v>
      </c>
      <c r="I59" s="1">
        <f t="shared" si="7"/>
        <v>22835.14</v>
      </c>
      <c r="J59" s="1">
        <f t="shared" si="1"/>
        <v>29491.58</v>
      </c>
      <c r="K59" s="1">
        <f t="shared" si="2"/>
        <v>1474.58</v>
      </c>
      <c r="L59" s="14">
        <f t="shared" si="3"/>
        <v>122.88</v>
      </c>
      <c r="M59" s="1">
        <f t="shared" si="4"/>
        <v>41.04</v>
      </c>
      <c r="N59" s="13">
        <f t="shared" si="5"/>
        <v>41.04</v>
      </c>
      <c r="O59" s="2">
        <v>39</v>
      </c>
      <c r="P59" s="6">
        <f t="shared" si="6"/>
        <v>14.04</v>
      </c>
      <c r="Q59" s="6">
        <f>SUM(Tabuľka8[[#This Row],[Stĺpec15]]-Tabuľka8[[#This Row],[Stĺpec3]])</f>
        <v>4.8</v>
      </c>
      <c r="T59" s="7">
        <f>Tabuľka8[[#This Row],[Stĺpec15]]*1.2</f>
        <v>46.8</v>
      </c>
    </row>
    <row r="60" spans="1:20" ht="15.75" x14ac:dyDescent="0.25">
      <c r="A60" s="44">
        <v>45</v>
      </c>
      <c r="B60" s="10" t="s">
        <v>8</v>
      </c>
      <c r="C60" s="5">
        <v>34.200000000000003</v>
      </c>
      <c r="D60" s="5">
        <v>0</v>
      </c>
      <c r="E60">
        <v>18</v>
      </c>
      <c r="F60">
        <v>1.71</v>
      </c>
      <c r="G60" s="5">
        <v>21.72</v>
      </c>
      <c r="H60" s="24" t="s">
        <v>102</v>
      </c>
      <c r="I60" s="1">
        <f t="shared" si="7"/>
        <v>22824.639999999999</v>
      </c>
      <c r="J60" s="1">
        <f t="shared" si="1"/>
        <v>29478.02</v>
      </c>
      <c r="K60" s="1">
        <f t="shared" si="2"/>
        <v>1473.9</v>
      </c>
      <c r="L60" s="14">
        <f t="shared" si="3"/>
        <v>122.83</v>
      </c>
      <c r="M60" s="1">
        <f t="shared" si="4"/>
        <v>41.04</v>
      </c>
      <c r="N60" s="13">
        <f t="shared" si="5"/>
        <v>41.04</v>
      </c>
      <c r="O60" s="2">
        <v>39</v>
      </c>
      <c r="P60" s="6">
        <f t="shared" si="6"/>
        <v>14.04</v>
      </c>
      <c r="Q60" s="6">
        <f>SUM(Tabuľka8[[#This Row],[Stĺpec15]]-Tabuľka8[[#This Row],[Stĺpec3]])</f>
        <v>4.8</v>
      </c>
      <c r="T60" s="7">
        <f>Tabuľka8[[#This Row],[Stĺpec15]]*1.2</f>
        <v>46.8</v>
      </c>
    </row>
    <row r="61" spans="1:20" ht="15.75" x14ac:dyDescent="0.25">
      <c r="A61" s="44">
        <v>46</v>
      </c>
      <c r="B61" s="10" t="s">
        <v>8</v>
      </c>
      <c r="C61" s="5">
        <v>34.200000000000003</v>
      </c>
      <c r="D61" s="5">
        <v>0</v>
      </c>
      <c r="E61">
        <v>18</v>
      </c>
      <c r="F61">
        <v>1.71</v>
      </c>
      <c r="G61" s="5">
        <v>21.72</v>
      </c>
      <c r="H61" s="24" t="s">
        <v>102</v>
      </c>
      <c r="I61" s="1">
        <f t="shared" si="7"/>
        <v>22824.639999999999</v>
      </c>
      <c r="J61" s="1">
        <f t="shared" si="1"/>
        <v>29478.02</v>
      </c>
      <c r="K61" s="1">
        <f t="shared" si="2"/>
        <v>1473.9</v>
      </c>
      <c r="L61" s="14">
        <f t="shared" si="3"/>
        <v>122.83</v>
      </c>
      <c r="M61" s="1">
        <f t="shared" si="4"/>
        <v>41.04</v>
      </c>
      <c r="N61" s="13">
        <f t="shared" si="5"/>
        <v>41.04</v>
      </c>
      <c r="O61" s="2">
        <v>39</v>
      </c>
      <c r="P61" s="6">
        <f t="shared" si="6"/>
        <v>14.04</v>
      </c>
      <c r="Q61" s="6">
        <f>SUM(Tabuľka8[[#This Row],[Stĺpec15]]-Tabuľka8[[#This Row],[Stĺpec3]])</f>
        <v>4.8</v>
      </c>
      <c r="T61" s="7">
        <f>Tabuľka8[[#This Row],[Stĺpec15]]*1.2</f>
        <v>46.8</v>
      </c>
    </row>
    <row r="62" spans="1:20" ht="15.75" x14ac:dyDescent="0.25">
      <c r="A62" s="44">
        <v>47</v>
      </c>
      <c r="B62" s="10" t="s">
        <v>8</v>
      </c>
      <c r="C62" s="5">
        <v>34.200000000000003</v>
      </c>
      <c r="D62" s="5">
        <v>0</v>
      </c>
      <c r="E62">
        <v>18</v>
      </c>
      <c r="F62">
        <v>1.71</v>
      </c>
      <c r="G62" s="5">
        <v>21.72</v>
      </c>
      <c r="H62" s="24" t="s">
        <v>102</v>
      </c>
      <c r="I62" s="1">
        <f t="shared" si="7"/>
        <v>22824.639999999999</v>
      </c>
      <c r="J62" s="1">
        <f t="shared" si="1"/>
        <v>29478.02</v>
      </c>
      <c r="K62" s="1">
        <f t="shared" si="2"/>
        <v>1473.9</v>
      </c>
      <c r="L62" s="14">
        <f t="shared" si="3"/>
        <v>122.83</v>
      </c>
      <c r="M62" s="1">
        <f t="shared" si="4"/>
        <v>41.04</v>
      </c>
      <c r="N62" s="13">
        <f t="shared" si="5"/>
        <v>41.04</v>
      </c>
      <c r="O62" s="2">
        <v>39</v>
      </c>
      <c r="P62" s="6">
        <f t="shared" si="6"/>
        <v>14.04</v>
      </c>
      <c r="Q62" s="6">
        <f>SUM(Tabuľka8[[#This Row],[Stĺpec15]]-Tabuľka8[[#This Row],[Stĺpec3]])</f>
        <v>4.8</v>
      </c>
      <c r="T62" s="7">
        <f>Tabuľka8[[#This Row],[Stĺpec15]]*1.2</f>
        <v>46.8</v>
      </c>
    </row>
    <row r="63" spans="1:20" ht="15.75" x14ac:dyDescent="0.25">
      <c r="A63" s="44">
        <v>48</v>
      </c>
      <c r="B63" t="s">
        <v>167</v>
      </c>
      <c r="C63" s="5">
        <v>34.200000000000003</v>
      </c>
      <c r="D63" s="5">
        <v>66.2</v>
      </c>
      <c r="E63">
        <v>18</v>
      </c>
      <c r="F63">
        <v>1.71</v>
      </c>
      <c r="G63" s="5">
        <v>21.72</v>
      </c>
      <c r="H63" s="24" t="s">
        <v>102</v>
      </c>
      <c r="I63" s="1">
        <f t="shared" si="7"/>
        <v>22824.639999999999</v>
      </c>
      <c r="J63" s="1">
        <f t="shared" si="1"/>
        <v>29478.02</v>
      </c>
      <c r="K63" s="1">
        <f t="shared" si="2"/>
        <v>1473.9</v>
      </c>
      <c r="L63" s="14">
        <f t="shared" si="3"/>
        <v>122.83</v>
      </c>
      <c r="M63" s="1">
        <f t="shared" si="4"/>
        <v>41.04</v>
      </c>
      <c r="N63" s="13">
        <f t="shared" si="5"/>
        <v>41.04</v>
      </c>
      <c r="O63" s="2">
        <v>39</v>
      </c>
      <c r="P63" s="6">
        <f t="shared" si="6"/>
        <v>14.04</v>
      </c>
      <c r="Q63" s="6">
        <f>SUM(Tabuľka8[[#This Row],[Stĺpec15]]-Tabuľka8[[#This Row],[Stĺpec3]])</f>
        <v>4.8</v>
      </c>
      <c r="T63" s="7">
        <f>Tabuľka8[[#This Row],[Stĺpec15]]*1.2</f>
        <v>46.8</v>
      </c>
    </row>
    <row r="64" spans="1:20" ht="15.75" x14ac:dyDescent="0.25">
      <c r="A64" s="44">
        <v>49</v>
      </c>
      <c r="B64" t="s">
        <v>168</v>
      </c>
      <c r="C64" s="5">
        <v>32.54</v>
      </c>
      <c r="D64" s="5">
        <v>112.36</v>
      </c>
      <c r="E64">
        <v>18</v>
      </c>
      <c r="F64">
        <v>1.71</v>
      </c>
      <c r="G64" s="5">
        <v>21.72</v>
      </c>
      <c r="H64" s="24" t="s">
        <v>102</v>
      </c>
      <c r="I64" s="1">
        <f t="shared" si="7"/>
        <v>22824.639999999999</v>
      </c>
      <c r="J64" s="1">
        <f t="shared" si="1"/>
        <v>29478.02</v>
      </c>
      <c r="K64" s="1">
        <f t="shared" si="2"/>
        <v>1473.9</v>
      </c>
      <c r="L64" s="14">
        <f t="shared" si="3"/>
        <v>122.83</v>
      </c>
      <c r="M64" s="1">
        <f t="shared" si="4"/>
        <v>39.049999999999997</v>
      </c>
      <c r="N64" s="13">
        <f t="shared" si="5"/>
        <v>39.049999999999997</v>
      </c>
      <c r="O64" s="2">
        <v>39</v>
      </c>
      <c r="P64" s="6">
        <f t="shared" si="6"/>
        <v>19.850000000000001</v>
      </c>
      <c r="Q64" s="6">
        <f>SUM(Tabuľka8[[#This Row],[Stĺpec15]]-Tabuľka8[[#This Row],[Stĺpec3]])</f>
        <v>6.46</v>
      </c>
      <c r="T64" s="7">
        <f>Tabuľka8[[#This Row],[Stĺpec15]]*1.2</f>
        <v>46.8</v>
      </c>
    </row>
    <row r="65" spans="1:20" ht="15.75" x14ac:dyDescent="0.25">
      <c r="A65" s="44">
        <v>50</v>
      </c>
      <c r="B65" t="s">
        <v>169</v>
      </c>
      <c r="C65" s="5">
        <v>32.54</v>
      </c>
      <c r="D65" s="5">
        <v>37.92</v>
      </c>
      <c r="E65">
        <v>18</v>
      </c>
      <c r="F65">
        <v>1.71</v>
      </c>
      <c r="G65" s="5">
        <v>21.72</v>
      </c>
      <c r="H65" s="24" t="s">
        <v>102</v>
      </c>
      <c r="I65" s="1">
        <f t="shared" si="7"/>
        <v>22824.639999999999</v>
      </c>
      <c r="J65" s="1">
        <f t="shared" si="1"/>
        <v>29478.02</v>
      </c>
      <c r="K65" s="1">
        <f t="shared" si="2"/>
        <v>1473.9</v>
      </c>
      <c r="L65" s="14">
        <f t="shared" si="3"/>
        <v>122.83</v>
      </c>
      <c r="M65" s="1">
        <f t="shared" si="4"/>
        <v>39.049999999999997</v>
      </c>
      <c r="N65" s="13">
        <f t="shared" si="5"/>
        <v>39.049999999999997</v>
      </c>
      <c r="O65" s="2">
        <v>39</v>
      </c>
      <c r="P65" s="6">
        <f t="shared" si="6"/>
        <v>19.850000000000001</v>
      </c>
      <c r="Q65" s="6">
        <f>SUM(Tabuľka8[[#This Row],[Stĺpec15]]-Tabuľka8[[#This Row],[Stĺpec3]])</f>
        <v>6.46</v>
      </c>
      <c r="T65" s="7">
        <f>Tabuľka8[[#This Row],[Stĺpec15]]*1.2</f>
        <v>46.8</v>
      </c>
    </row>
    <row r="66" spans="1:20" ht="15.75" x14ac:dyDescent="0.25">
      <c r="A66" s="44">
        <v>51</v>
      </c>
      <c r="B66" t="s">
        <v>170</v>
      </c>
      <c r="C66" s="5">
        <v>32.54</v>
      </c>
      <c r="D66" s="5">
        <v>60.43</v>
      </c>
      <c r="E66">
        <v>18</v>
      </c>
      <c r="F66">
        <v>1.71</v>
      </c>
      <c r="G66" s="5">
        <v>21.72</v>
      </c>
      <c r="H66" s="24" t="s">
        <v>102</v>
      </c>
      <c r="I66" s="1">
        <f t="shared" si="7"/>
        <v>22824.639999999999</v>
      </c>
      <c r="J66" s="1">
        <f t="shared" si="1"/>
        <v>29478.02</v>
      </c>
      <c r="K66" s="1">
        <f t="shared" si="2"/>
        <v>1473.9</v>
      </c>
      <c r="L66" s="14">
        <f t="shared" si="3"/>
        <v>122.83</v>
      </c>
      <c r="M66" s="1">
        <f t="shared" si="4"/>
        <v>39.049999999999997</v>
      </c>
      <c r="N66" s="13">
        <f t="shared" si="5"/>
        <v>39.049999999999997</v>
      </c>
      <c r="O66" s="2">
        <v>39</v>
      </c>
      <c r="P66" s="6">
        <f t="shared" si="6"/>
        <v>19.850000000000001</v>
      </c>
      <c r="Q66" s="6">
        <f>SUM(Tabuľka8[[#This Row],[Stĺpec15]]-Tabuľka8[[#This Row],[Stĺpec3]])</f>
        <v>6.46</v>
      </c>
      <c r="T66" s="7">
        <f>Tabuľka8[[#This Row],[Stĺpec15]]*1.2</f>
        <v>46.8</v>
      </c>
    </row>
    <row r="67" spans="1:20" ht="15.75" x14ac:dyDescent="0.25">
      <c r="A67" s="44">
        <v>52</v>
      </c>
      <c r="B67" s="10" t="s">
        <v>8</v>
      </c>
      <c r="C67" s="5">
        <v>34.200000000000003</v>
      </c>
      <c r="D67" s="5">
        <v>0</v>
      </c>
      <c r="E67">
        <v>18</v>
      </c>
      <c r="F67">
        <v>1.71</v>
      </c>
      <c r="G67" s="5">
        <v>21.72</v>
      </c>
      <c r="H67" s="24" t="s">
        <v>102</v>
      </c>
      <c r="I67" s="1">
        <f t="shared" si="7"/>
        <v>22824.639999999999</v>
      </c>
      <c r="J67" s="1">
        <f t="shared" si="1"/>
        <v>29478.02</v>
      </c>
      <c r="K67" s="1">
        <f t="shared" si="2"/>
        <v>1473.9</v>
      </c>
      <c r="L67" s="14">
        <f t="shared" si="3"/>
        <v>122.83</v>
      </c>
      <c r="M67" s="1">
        <f t="shared" si="4"/>
        <v>41.04</v>
      </c>
      <c r="N67" s="13">
        <f t="shared" si="5"/>
        <v>41.04</v>
      </c>
      <c r="O67" s="2">
        <v>39</v>
      </c>
      <c r="P67" s="6">
        <f t="shared" si="6"/>
        <v>14.04</v>
      </c>
      <c r="Q67" s="6">
        <f>SUM(Tabuľka8[[#This Row],[Stĺpec15]]-Tabuľka8[[#This Row],[Stĺpec3]])</f>
        <v>4.8</v>
      </c>
      <c r="T67" s="7">
        <f>Tabuľka8[[#This Row],[Stĺpec15]]*1.2</f>
        <v>46.8</v>
      </c>
    </row>
    <row r="68" spans="1:20" ht="15.75" hidden="1" x14ac:dyDescent="0.25">
      <c r="C68" s="15">
        <f>SUM(C16:C67)</f>
        <v>1736.7</v>
      </c>
      <c r="D68" s="3" t="s">
        <v>224</v>
      </c>
      <c r="E68" s="15">
        <f>SUM(C16:C67)</f>
        <v>1736.7</v>
      </c>
      <c r="F68" s="15"/>
      <c r="G68" s="3"/>
      <c r="H68" s="3"/>
      <c r="I68" s="3"/>
      <c r="J68" s="3"/>
      <c r="K68" s="2"/>
      <c r="L68" s="2"/>
      <c r="M68" s="2"/>
      <c r="N68" s="16"/>
      <c r="O68" s="15">
        <f>SUM(O16:O67)</f>
        <v>2028</v>
      </c>
      <c r="P68" s="6">
        <f>SUM(O68/C68*100)-100</f>
        <v>16.77</v>
      </c>
      <c r="T68" s="7">
        <f>SUM(T16:T67)</f>
        <v>2433.6</v>
      </c>
    </row>
    <row r="69" spans="1:20" hidden="1" x14ac:dyDescent="0.2">
      <c r="E69" s="5"/>
      <c r="F69" s="5"/>
      <c r="J69" s="1" t="s">
        <v>314</v>
      </c>
      <c r="K69" s="1"/>
      <c r="L69" s="1"/>
      <c r="M69" s="1"/>
      <c r="N69" s="14"/>
      <c r="O69" s="13">
        <f>SUM(O68-C68)</f>
        <v>291.3</v>
      </c>
      <c r="T69" s="6">
        <f>T68-O68</f>
        <v>405.6</v>
      </c>
    </row>
    <row r="70" spans="1:20" hidden="1" x14ac:dyDescent="0.2">
      <c r="E70" s="5"/>
      <c r="F70" s="5"/>
      <c r="K70" s="1"/>
      <c r="L70" s="1"/>
      <c r="M70" s="1"/>
      <c r="N70" s="14"/>
      <c r="O70" s="48">
        <f>O69*12</f>
        <v>3495.6</v>
      </c>
      <c r="T70" s="6">
        <f>T69*12</f>
        <v>4867.2</v>
      </c>
    </row>
    <row r="71" spans="1:20" ht="33.75" hidden="1" customHeight="1" x14ac:dyDescent="0.2">
      <c r="A71" s="135" t="s">
        <v>306</v>
      </c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</row>
    <row r="72" spans="1:20" hidden="1" x14ac:dyDescent="0.2">
      <c r="A72" s="12"/>
      <c r="K72" s="1"/>
      <c r="L72" s="1"/>
      <c r="M72" s="1"/>
      <c r="N72" s="1"/>
      <c r="O72" s="1"/>
    </row>
    <row r="73" spans="1:20" ht="42.75" hidden="1" customHeight="1" x14ac:dyDescent="0.2">
      <c r="A73" s="131" t="s">
        <v>305</v>
      </c>
      <c r="B73" s="131"/>
      <c r="C73" s="131"/>
      <c r="D73" s="131"/>
      <c r="E73" s="131"/>
      <c r="F73" s="131"/>
      <c r="G73" s="131"/>
      <c r="H73" s="131"/>
      <c r="I73" s="131"/>
      <c r="J73" s="34" t="s">
        <v>312</v>
      </c>
      <c r="K73" s="35">
        <v>70</v>
      </c>
      <c r="L73" s="35" t="s">
        <v>303</v>
      </c>
      <c r="M73" s="1"/>
      <c r="N73" s="1"/>
      <c r="O73" s="1"/>
    </row>
    <row r="74" spans="1:20" hidden="1" x14ac:dyDescent="0.2">
      <c r="E74" s="5"/>
      <c r="F74" s="5"/>
      <c r="K74" s="1"/>
      <c r="L74" s="1"/>
      <c r="M74" s="1"/>
      <c r="N74" s="14"/>
    </row>
    <row r="75" spans="1:20" hidden="1" x14ac:dyDescent="0.2">
      <c r="E75" s="5"/>
      <c r="F75" s="5"/>
      <c r="K75" s="1"/>
      <c r="L75" s="1"/>
      <c r="M75" s="1"/>
      <c r="N75" s="14"/>
    </row>
    <row r="76" spans="1:20" hidden="1" x14ac:dyDescent="0.2">
      <c r="E76" s="5"/>
      <c r="F76" s="5"/>
      <c r="K76" s="1"/>
      <c r="L76" s="1"/>
      <c r="M76" s="1"/>
      <c r="N76" s="14"/>
    </row>
    <row r="77" spans="1:20" hidden="1" x14ac:dyDescent="0.2">
      <c r="E77" s="5"/>
      <c r="F77" s="5"/>
      <c r="K77" s="1"/>
      <c r="L77" s="1"/>
      <c r="M77" s="1"/>
      <c r="N77" s="14"/>
    </row>
    <row r="78" spans="1:20" hidden="1" x14ac:dyDescent="0.2">
      <c r="E78" s="5"/>
      <c r="F78" s="5"/>
      <c r="K78" s="1"/>
      <c r="L78" s="1"/>
      <c r="M78" s="1"/>
      <c r="N78" s="14"/>
    </row>
    <row r="79" spans="1:20" x14ac:dyDescent="0.2">
      <c r="E79" s="5"/>
      <c r="F79" s="5"/>
      <c r="K79" s="1"/>
      <c r="L79" s="1"/>
      <c r="M79" s="1"/>
      <c r="N79" s="14"/>
    </row>
    <row r="80" spans="1:20" x14ac:dyDescent="0.2">
      <c r="E80" s="5"/>
      <c r="F80" s="5"/>
      <c r="K80" s="1"/>
      <c r="L80" s="1"/>
      <c r="M80" s="1"/>
      <c r="N80" s="14"/>
    </row>
    <row r="81" spans="5:14" x14ac:dyDescent="0.2">
      <c r="E81" s="5"/>
      <c r="F81" s="5"/>
      <c r="K81" s="1"/>
      <c r="L81" s="1"/>
      <c r="M81" s="1"/>
      <c r="N81" s="14"/>
    </row>
    <row r="82" spans="5:14" x14ac:dyDescent="0.2">
      <c r="E82" s="5"/>
      <c r="F82" s="5"/>
      <c r="K82" s="1"/>
      <c r="L82" s="1"/>
      <c r="M82" s="1"/>
      <c r="N82" s="14"/>
    </row>
    <row r="83" spans="5:14" x14ac:dyDescent="0.2">
      <c r="E83" s="5"/>
      <c r="F83" s="5"/>
      <c r="K83" s="1"/>
      <c r="L83" s="1"/>
      <c r="M83" s="1"/>
      <c r="N83" s="14"/>
    </row>
    <row r="84" spans="5:14" x14ac:dyDescent="0.2">
      <c r="K84" s="1"/>
      <c r="L84" s="1"/>
      <c r="M84" s="1"/>
      <c r="N84" s="14"/>
    </row>
    <row r="85" spans="5:14" x14ac:dyDescent="0.2">
      <c r="K85" s="1"/>
      <c r="L85" s="1"/>
      <c r="M85" s="1"/>
      <c r="N85" s="14"/>
    </row>
    <row r="86" spans="5:14" x14ac:dyDescent="0.2">
      <c r="K86" s="1"/>
      <c r="L86" s="1"/>
      <c r="M86" s="1"/>
      <c r="N86" s="14"/>
    </row>
    <row r="87" spans="5:14" x14ac:dyDescent="0.2">
      <c r="K87" s="1"/>
      <c r="L87" s="1"/>
      <c r="M87" s="1"/>
      <c r="N87" s="14"/>
    </row>
    <row r="88" spans="5:14" x14ac:dyDescent="0.2">
      <c r="K88" s="1"/>
      <c r="L88" s="1"/>
      <c r="M88" s="1"/>
      <c r="N88" s="14"/>
    </row>
    <row r="89" spans="5:14" x14ac:dyDescent="0.2">
      <c r="K89" s="1"/>
      <c r="L89" s="1"/>
      <c r="M89" s="1"/>
      <c r="N89" s="14"/>
    </row>
    <row r="90" spans="5:14" x14ac:dyDescent="0.2">
      <c r="K90" s="1"/>
      <c r="L90" s="1"/>
      <c r="M90" s="1"/>
      <c r="N90" s="14"/>
    </row>
  </sheetData>
  <mergeCells count="2">
    <mergeCell ref="A71:Q71"/>
    <mergeCell ref="A73:I73"/>
  </mergeCells>
  <pageMargins left="0.7" right="0.7" top="0.75" bottom="0.75" header="0.3" footer="0.3"/>
  <pageSetup paperSize="9" scale="78" orientation="portrait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E4E9-27A5-4B49-A673-93559CDAA3B7}">
  <sheetPr>
    <pageSetUpPr fitToPage="1"/>
  </sheetPr>
  <dimension ref="A1:DT86"/>
  <sheetViews>
    <sheetView zoomScaleNormal="100" workbookViewId="0">
      <selection activeCell="AR28" sqref="AR28"/>
    </sheetView>
  </sheetViews>
  <sheetFormatPr defaultColWidth="9.77734375" defaultRowHeight="12.75" x14ac:dyDescent="0.2"/>
  <cols>
    <col min="1" max="1" width="7.33203125" style="99" customWidth="1"/>
    <col min="2" max="2" width="6.33203125" style="99" hidden="1" customWidth="1"/>
    <col min="3" max="3" width="6.5546875" style="99" hidden="1" customWidth="1"/>
    <col min="4" max="4" width="10.5546875" style="20" hidden="1" customWidth="1"/>
    <col min="5" max="5" width="8.88671875" style="20" hidden="1" customWidth="1"/>
    <col min="6" max="6" width="10.109375" style="20" hidden="1" customWidth="1"/>
    <col min="7" max="7" width="9.77734375" style="20" hidden="1" customWidth="1"/>
    <col min="8" max="8" width="9" style="20" hidden="1" customWidth="1"/>
    <col min="9" max="9" width="9.88671875" style="20" hidden="1" customWidth="1"/>
    <col min="10" max="10" width="10" style="20" bestFit="1" customWidth="1"/>
    <col min="11" max="11" width="7" style="20" hidden="1" customWidth="1"/>
    <col min="12" max="12" width="8" style="20" hidden="1" customWidth="1"/>
    <col min="13" max="13" width="9" style="20" hidden="1" customWidth="1"/>
    <col min="14" max="14" width="10.33203125" style="20" hidden="1" customWidth="1"/>
    <col min="15" max="15" width="7" style="20" hidden="1" customWidth="1"/>
    <col min="16" max="16" width="10.88671875" style="20" hidden="1" customWidth="1"/>
    <col min="17" max="18" width="8.44140625" style="20" hidden="1" customWidth="1"/>
    <col min="19" max="19" width="11.6640625" style="20" hidden="1" customWidth="1"/>
    <col min="20" max="20" width="9.33203125" style="20" hidden="1" customWidth="1"/>
    <col min="21" max="21" width="9" style="20" hidden="1" customWidth="1"/>
    <col min="22" max="22" width="9.33203125" style="20" hidden="1" customWidth="1"/>
    <col min="23" max="23" width="10" style="109" bestFit="1" customWidth="1"/>
    <col min="24" max="24" width="26.109375" style="20" customWidth="1"/>
    <col min="25" max="26" width="10" style="20" hidden="1" customWidth="1"/>
    <col min="27" max="27" width="8.44140625" style="109" hidden="1" customWidth="1"/>
    <col min="28" max="28" width="9.77734375" style="109" hidden="1" customWidth="1"/>
    <col min="29" max="29" width="8" style="20" hidden="1" customWidth="1"/>
    <col min="30" max="30" width="7.21875" style="20" hidden="1" customWidth="1"/>
    <col min="31" max="31" width="8.21875" style="20" hidden="1" customWidth="1"/>
    <col min="32" max="32" width="9" style="20" hidden="1" customWidth="1"/>
    <col min="33" max="33" width="8.21875" style="20" hidden="1" customWidth="1"/>
    <col min="34" max="36" width="7.21875" style="20" hidden="1" customWidth="1"/>
    <col min="37" max="37" width="4.77734375" style="100" hidden="1" customWidth="1"/>
    <col min="38" max="42" width="0" style="99" hidden="1" customWidth="1"/>
    <col min="43" max="16384" width="9.77734375" style="99"/>
  </cols>
  <sheetData>
    <row r="1" spans="1:38" s="97" customFormat="1" ht="15" customHeight="1" x14ac:dyDescent="0.25">
      <c r="A1" s="136" t="s">
        <v>364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98"/>
    </row>
    <row r="3" spans="1:38" hidden="1" x14ac:dyDescent="0.2">
      <c r="A3" s="99">
        <v>1</v>
      </c>
      <c r="B3" s="99">
        <v>2</v>
      </c>
      <c r="C3" s="99">
        <v>3</v>
      </c>
      <c r="D3" s="20">
        <v>4</v>
      </c>
      <c r="E3" s="20">
        <v>5</v>
      </c>
      <c r="F3" s="20">
        <v>7</v>
      </c>
      <c r="G3" s="20">
        <v>8</v>
      </c>
      <c r="H3" s="20">
        <v>9</v>
      </c>
      <c r="I3" s="20">
        <v>10</v>
      </c>
      <c r="J3" s="20">
        <v>11</v>
      </c>
      <c r="S3" s="20">
        <v>7</v>
      </c>
      <c r="T3" s="20">
        <v>8</v>
      </c>
      <c r="U3" s="20">
        <v>9</v>
      </c>
      <c r="V3" s="20">
        <v>10</v>
      </c>
      <c r="W3" s="109">
        <v>11</v>
      </c>
    </row>
    <row r="4" spans="1:38" ht="12.75" hidden="1" customHeight="1" x14ac:dyDescent="0.2">
      <c r="D4" s="110" t="s">
        <v>229</v>
      </c>
      <c r="E4" s="110"/>
      <c r="F4" s="137"/>
      <c r="G4" s="137"/>
      <c r="H4" s="137"/>
      <c r="I4" s="137"/>
      <c r="J4" s="137"/>
      <c r="L4" s="138" t="s">
        <v>230</v>
      </c>
      <c r="M4" s="138"/>
      <c r="N4" s="138"/>
      <c r="O4" s="138"/>
      <c r="P4" s="138"/>
      <c r="Q4" s="138"/>
      <c r="R4" s="101"/>
      <c r="S4" s="139" t="s">
        <v>259</v>
      </c>
      <c r="T4" s="139"/>
      <c r="U4" s="139"/>
      <c r="V4" s="139"/>
      <c r="W4" s="139"/>
      <c r="X4" s="111"/>
      <c r="Y4" s="111"/>
      <c r="Z4" s="111"/>
      <c r="AA4" s="111"/>
      <c r="AD4" s="138"/>
      <c r="AE4" s="138"/>
      <c r="AF4" s="138"/>
      <c r="AG4" s="138"/>
      <c r="AH4" s="138"/>
      <c r="AI4" s="138"/>
      <c r="AJ4" s="138"/>
      <c r="AL4" t="s">
        <v>341</v>
      </c>
    </row>
    <row r="5" spans="1:38" ht="42" customHeight="1" x14ac:dyDescent="0.2">
      <c r="A5" s="124" t="s">
        <v>0</v>
      </c>
      <c r="B5" s="118" t="s">
        <v>231</v>
      </c>
      <c r="C5" s="117" t="s">
        <v>232</v>
      </c>
      <c r="D5" s="119" t="s">
        <v>233</v>
      </c>
      <c r="E5" s="119" t="s">
        <v>234</v>
      </c>
      <c r="F5" s="119" t="s">
        <v>266</v>
      </c>
      <c r="G5" s="119" t="s">
        <v>267</v>
      </c>
      <c r="H5" s="119" t="s">
        <v>268</v>
      </c>
      <c r="I5" s="119" t="s">
        <v>269</v>
      </c>
      <c r="J5" s="119" t="s">
        <v>300</v>
      </c>
      <c r="K5" s="119" t="s">
        <v>237</v>
      </c>
      <c r="L5" s="120" t="s">
        <v>238</v>
      </c>
      <c r="M5" s="119" t="s">
        <v>239</v>
      </c>
      <c r="N5" s="119" t="s">
        <v>240</v>
      </c>
      <c r="O5" s="119" t="s">
        <v>241</v>
      </c>
      <c r="P5" s="120" t="s">
        <v>242</v>
      </c>
      <c r="Q5" s="119" t="s">
        <v>243</v>
      </c>
      <c r="R5" s="121" t="s">
        <v>264</v>
      </c>
      <c r="S5" s="121" t="s">
        <v>261</v>
      </c>
      <c r="T5" s="119" t="s">
        <v>235</v>
      </c>
      <c r="U5" s="119" t="s">
        <v>236</v>
      </c>
      <c r="V5" s="119" t="s">
        <v>269</v>
      </c>
      <c r="W5" s="121" t="s">
        <v>363</v>
      </c>
      <c r="X5" s="119" t="s">
        <v>351</v>
      </c>
      <c r="Y5" s="119" t="s">
        <v>352</v>
      </c>
      <c r="Z5" s="119" t="s">
        <v>264</v>
      </c>
      <c r="AA5" s="121" t="s">
        <v>265</v>
      </c>
      <c r="AB5" s="119" t="s">
        <v>366</v>
      </c>
      <c r="AC5" s="119" t="s">
        <v>237</v>
      </c>
      <c r="AD5" s="120" t="s">
        <v>238</v>
      </c>
      <c r="AE5" s="119" t="s">
        <v>239</v>
      </c>
      <c r="AF5" s="119" t="s">
        <v>365</v>
      </c>
      <c r="AG5" s="101" t="s">
        <v>271</v>
      </c>
      <c r="AH5" s="101" t="s">
        <v>272</v>
      </c>
      <c r="AI5" s="102" t="s">
        <v>242</v>
      </c>
      <c r="AJ5" s="101" t="s">
        <v>243</v>
      </c>
      <c r="AL5" s="40" t="s">
        <v>349</v>
      </c>
    </row>
    <row r="6" spans="1:38" x14ac:dyDescent="0.2">
      <c r="A6" s="125"/>
      <c r="S6" s="20" t="s">
        <v>262</v>
      </c>
    </row>
    <row r="7" spans="1:38" x14ac:dyDescent="0.2">
      <c r="A7" s="125">
        <v>1</v>
      </c>
      <c r="B7" s="99">
        <v>49.13</v>
      </c>
      <c r="C7" s="99">
        <v>869.51</v>
      </c>
      <c r="D7" s="20">
        <v>25631.53</v>
      </c>
      <c r="E7" s="20">
        <v>17087.25</v>
      </c>
      <c r="F7" s="106">
        <f t="shared" ref="F7:F30" si="0">SUM(D7:E7)</f>
        <v>42718.78</v>
      </c>
      <c r="G7" s="106">
        <f t="shared" ref="G7:G30" si="1">$G$31/$B$31*B7</f>
        <v>2135.94</v>
      </c>
      <c r="H7" s="106">
        <f>G7/12</f>
        <v>178</v>
      </c>
      <c r="I7" s="106">
        <f t="shared" ref="I7:I30" si="2">$I$31/$B$31*B7</f>
        <v>1922.35</v>
      </c>
      <c r="J7" s="106">
        <f>SUM(I7/12)</f>
        <v>160.19999999999999</v>
      </c>
      <c r="L7" s="20">
        <v>64.81</v>
      </c>
      <c r="M7" s="20">
        <v>26.7</v>
      </c>
      <c r="N7" s="20">
        <v>32.04</v>
      </c>
      <c r="O7" s="20">
        <f>SUM(J7-L7-M7-N7)</f>
        <v>36.65</v>
      </c>
      <c r="P7" s="20">
        <f>SUM(L7:O7)</f>
        <v>160.19999999999999</v>
      </c>
      <c r="Q7" s="20">
        <f>J7</f>
        <v>160.19999999999999</v>
      </c>
      <c r="R7" s="20">
        <v>961.2</v>
      </c>
      <c r="S7" s="112">
        <f>SUM(F7*1.1745)</f>
        <v>50173.21</v>
      </c>
      <c r="T7" s="106">
        <f>SUM(S7*5%)</f>
        <v>2508.66</v>
      </c>
      <c r="U7" s="106">
        <f>T7/12</f>
        <v>209.06</v>
      </c>
      <c r="V7" s="106">
        <f>SUM(S7*4.5%)</f>
        <v>2257.79</v>
      </c>
      <c r="W7" s="112">
        <f>V7/12</f>
        <v>188.15</v>
      </c>
      <c r="X7" s="130">
        <f>W7-J7</f>
        <v>27.95</v>
      </c>
      <c r="Y7" s="113">
        <f>X7/J7</f>
        <v>0.17</v>
      </c>
      <c r="Z7" s="20">
        <v>961.2</v>
      </c>
      <c r="AA7" s="109">
        <f t="shared" ref="AA7:AA30" si="3">SUM(W7*6)</f>
        <v>1128.9000000000001</v>
      </c>
      <c r="AB7" s="106">
        <f t="shared" ref="AB7:AB30" si="4">SUM(AA7-R7)</f>
        <v>167.7</v>
      </c>
      <c r="AD7" s="104">
        <f t="shared" ref="AD7:AD30" si="5">($AC$31/$B$31*B7)/12</f>
        <v>64.81</v>
      </c>
      <c r="AE7" s="106">
        <f t="shared" ref="AE7:AE30" si="6">SUM(F7*0.0075/12)</f>
        <v>26.7</v>
      </c>
      <c r="AF7" s="106">
        <f t="shared" ref="AF7:AF30" si="7">SUM(W7-J7)</f>
        <v>27.95</v>
      </c>
      <c r="AG7" s="104">
        <f t="shared" ref="AG7:AG29" si="8">((F8*0.009)/12)</f>
        <v>22.09</v>
      </c>
      <c r="AH7" s="21">
        <f t="shared" ref="AH7:AH29" si="9">SUM(W8-AD8-AE8-AF8-AG7)</f>
        <v>25.26</v>
      </c>
      <c r="AI7" s="21">
        <f t="shared" ref="AI7:AI28" si="10">SUM(AD7:AH7)</f>
        <v>166.81</v>
      </c>
      <c r="AJ7" s="21">
        <f t="shared" ref="AJ7:AJ29" si="11">W8</f>
        <v>129.71</v>
      </c>
      <c r="AL7" s="105">
        <f t="shared" ref="AL7:AL29" si="12">J8*1.2</f>
        <v>132.53</v>
      </c>
    </row>
    <row r="8" spans="1:38" x14ac:dyDescent="0.2">
      <c r="A8" s="125">
        <v>2</v>
      </c>
      <c r="B8" s="99">
        <v>33.869999999999997</v>
      </c>
      <c r="C8" s="99">
        <v>869.51</v>
      </c>
      <c r="D8" s="20">
        <v>17670.259999999998</v>
      </c>
      <c r="E8" s="20">
        <v>11779.87</v>
      </c>
      <c r="F8" s="106">
        <f t="shared" si="0"/>
        <v>29450.13</v>
      </c>
      <c r="G8" s="106">
        <f t="shared" si="1"/>
        <v>1472.51</v>
      </c>
      <c r="H8" s="106">
        <f t="shared" ref="H8:H30" si="13">G8/12</f>
        <v>122.71</v>
      </c>
      <c r="I8" s="106">
        <f t="shared" si="2"/>
        <v>1325.26</v>
      </c>
      <c r="J8" s="106">
        <f t="shared" ref="J8:J30" si="14">SUM(I8/12)</f>
        <v>110.44</v>
      </c>
      <c r="L8" s="20">
        <v>44.68</v>
      </c>
      <c r="M8" s="20">
        <v>18.41</v>
      </c>
      <c r="N8" s="20">
        <v>22.09</v>
      </c>
      <c r="O8" s="20">
        <f t="shared" ref="O8:O30" si="15">SUM(J8-L8-M8-N8)</f>
        <v>25.26</v>
      </c>
      <c r="P8" s="20">
        <f t="shared" ref="P8:P30" si="16">SUM(L8:O8)</f>
        <v>110.44</v>
      </c>
      <c r="Q8" s="20">
        <f t="shared" ref="Q8:Q30" si="17">J8</f>
        <v>110.44</v>
      </c>
      <c r="R8" s="20">
        <v>662.64</v>
      </c>
      <c r="S8" s="112">
        <f t="shared" ref="S8:S30" si="18">SUM(F8*1.1745)</f>
        <v>34589.18</v>
      </c>
      <c r="T8" s="106">
        <f t="shared" ref="T8:T30" si="19">SUM(S8*5%)</f>
        <v>1729.46</v>
      </c>
      <c r="U8" s="106">
        <f t="shared" ref="U8:U30" si="20">T8/12</f>
        <v>144.12</v>
      </c>
      <c r="V8" s="106">
        <f t="shared" ref="V8:V30" si="21">SUM(S8*4.5%)</f>
        <v>1556.51</v>
      </c>
      <c r="W8" s="112">
        <f t="shared" ref="W8:W30" si="22">V8/12</f>
        <v>129.71</v>
      </c>
      <c r="X8" s="130">
        <f t="shared" ref="X8:X30" si="23">W8-J8</f>
        <v>19.27</v>
      </c>
      <c r="Y8" s="113">
        <f t="shared" ref="Y8:Y30" si="24">X8/J8</f>
        <v>0.17</v>
      </c>
      <c r="Z8" s="20">
        <v>662.64</v>
      </c>
      <c r="AA8" s="109">
        <f t="shared" si="3"/>
        <v>778.26</v>
      </c>
      <c r="AB8" s="106">
        <f t="shared" si="4"/>
        <v>115.62</v>
      </c>
      <c r="AD8" s="104">
        <f t="shared" si="5"/>
        <v>44.68</v>
      </c>
      <c r="AE8" s="106">
        <f t="shared" si="6"/>
        <v>18.41</v>
      </c>
      <c r="AF8" s="106">
        <f t="shared" si="7"/>
        <v>19.27</v>
      </c>
      <c r="AG8" s="104">
        <f t="shared" si="8"/>
        <v>25.02</v>
      </c>
      <c r="AH8" s="21">
        <f t="shared" si="9"/>
        <v>28.62</v>
      </c>
      <c r="AI8" s="21">
        <f t="shared" si="10"/>
        <v>136</v>
      </c>
      <c r="AJ8" s="21">
        <f t="shared" si="11"/>
        <v>146.94</v>
      </c>
      <c r="AL8" s="105">
        <f t="shared" si="12"/>
        <v>150.13</v>
      </c>
    </row>
    <row r="9" spans="1:38" x14ac:dyDescent="0.2">
      <c r="A9" s="125">
        <v>3</v>
      </c>
      <c r="B9" s="99">
        <v>38.369999999999997</v>
      </c>
      <c r="C9" s="99">
        <v>869.51</v>
      </c>
      <c r="D9" s="20">
        <v>20017.95</v>
      </c>
      <c r="E9" s="20">
        <v>13344.96</v>
      </c>
      <c r="F9" s="106">
        <f t="shared" si="0"/>
        <v>33362.910000000003</v>
      </c>
      <c r="G9" s="106">
        <f t="shared" si="1"/>
        <v>1668.15</v>
      </c>
      <c r="H9" s="106">
        <f t="shared" si="13"/>
        <v>139.01</v>
      </c>
      <c r="I9" s="106">
        <f t="shared" si="2"/>
        <v>1501.33</v>
      </c>
      <c r="J9" s="106">
        <f t="shared" si="14"/>
        <v>125.11</v>
      </c>
      <c r="L9" s="20">
        <v>50.62</v>
      </c>
      <c r="M9" s="20">
        <v>20.85</v>
      </c>
      <c r="N9" s="20">
        <v>25.02</v>
      </c>
      <c r="O9" s="20">
        <f t="shared" si="15"/>
        <v>28.62</v>
      </c>
      <c r="P9" s="20">
        <f t="shared" si="16"/>
        <v>125.11</v>
      </c>
      <c r="Q9" s="20">
        <f t="shared" si="17"/>
        <v>125.11</v>
      </c>
      <c r="R9" s="20">
        <v>750.66</v>
      </c>
      <c r="S9" s="112">
        <f t="shared" si="18"/>
        <v>39184.74</v>
      </c>
      <c r="T9" s="106">
        <f t="shared" si="19"/>
        <v>1959.24</v>
      </c>
      <c r="U9" s="106">
        <f t="shared" si="20"/>
        <v>163.27000000000001</v>
      </c>
      <c r="V9" s="106">
        <f t="shared" si="21"/>
        <v>1763.31</v>
      </c>
      <c r="W9" s="112">
        <f t="shared" si="22"/>
        <v>146.94</v>
      </c>
      <c r="X9" s="130">
        <f t="shared" si="23"/>
        <v>21.83</v>
      </c>
      <c r="Y9" s="113">
        <f t="shared" si="24"/>
        <v>0.17</v>
      </c>
      <c r="Z9" s="20">
        <v>750.66</v>
      </c>
      <c r="AA9" s="109">
        <f t="shared" si="3"/>
        <v>881.64</v>
      </c>
      <c r="AB9" s="106">
        <f t="shared" si="4"/>
        <v>130.97999999999999</v>
      </c>
      <c r="AD9" s="104">
        <f t="shared" si="5"/>
        <v>50.62</v>
      </c>
      <c r="AE9" s="106">
        <f t="shared" si="6"/>
        <v>20.85</v>
      </c>
      <c r="AF9" s="106">
        <f t="shared" si="7"/>
        <v>21.83</v>
      </c>
      <c r="AG9" s="104">
        <f t="shared" si="8"/>
        <v>33.46</v>
      </c>
      <c r="AH9" s="21">
        <f t="shared" si="9"/>
        <v>38.270000000000003</v>
      </c>
      <c r="AI9" s="21">
        <f t="shared" si="10"/>
        <v>165.03</v>
      </c>
      <c r="AJ9" s="21">
        <f t="shared" si="11"/>
        <v>196.5</v>
      </c>
      <c r="AL9" s="105">
        <f t="shared" si="12"/>
        <v>200.76</v>
      </c>
    </row>
    <row r="10" spans="1:38" x14ac:dyDescent="0.2">
      <c r="A10" s="125">
        <v>4</v>
      </c>
      <c r="B10" s="99">
        <v>51.31</v>
      </c>
      <c r="C10" s="99">
        <v>869.51</v>
      </c>
      <c r="D10" s="20">
        <v>26768.86</v>
      </c>
      <c r="E10" s="20">
        <v>17845.45</v>
      </c>
      <c r="F10" s="106">
        <f t="shared" si="0"/>
        <v>44614.31</v>
      </c>
      <c r="G10" s="106">
        <f t="shared" si="1"/>
        <v>2230.7199999999998</v>
      </c>
      <c r="H10" s="106">
        <f t="shared" si="13"/>
        <v>185.89</v>
      </c>
      <c r="I10" s="106">
        <f t="shared" si="2"/>
        <v>2007.64</v>
      </c>
      <c r="J10" s="106">
        <f t="shared" si="14"/>
        <v>167.3</v>
      </c>
      <c r="L10" s="20">
        <v>67.69</v>
      </c>
      <c r="M10" s="20">
        <v>27.88</v>
      </c>
      <c r="N10" s="20">
        <v>33.46</v>
      </c>
      <c r="O10" s="20">
        <f t="shared" si="15"/>
        <v>38.270000000000003</v>
      </c>
      <c r="P10" s="20">
        <f t="shared" si="16"/>
        <v>167.3</v>
      </c>
      <c r="Q10" s="20">
        <f t="shared" si="17"/>
        <v>167.3</v>
      </c>
      <c r="R10" s="20">
        <v>1003.8</v>
      </c>
      <c r="S10" s="112">
        <f t="shared" si="18"/>
        <v>52399.51</v>
      </c>
      <c r="T10" s="106">
        <f t="shared" si="19"/>
        <v>2619.98</v>
      </c>
      <c r="U10" s="106">
        <f t="shared" si="20"/>
        <v>218.33</v>
      </c>
      <c r="V10" s="106">
        <f t="shared" si="21"/>
        <v>2357.98</v>
      </c>
      <c r="W10" s="112">
        <f t="shared" si="22"/>
        <v>196.5</v>
      </c>
      <c r="X10" s="130">
        <f t="shared" si="23"/>
        <v>29.2</v>
      </c>
      <c r="Y10" s="113">
        <f t="shared" si="24"/>
        <v>0.17</v>
      </c>
      <c r="Z10" s="20">
        <v>1003.8</v>
      </c>
      <c r="AA10" s="109">
        <f t="shared" si="3"/>
        <v>1179</v>
      </c>
      <c r="AB10" s="106">
        <f t="shared" si="4"/>
        <v>175.2</v>
      </c>
      <c r="AD10" s="104">
        <f t="shared" si="5"/>
        <v>67.69</v>
      </c>
      <c r="AE10" s="106">
        <f t="shared" si="6"/>
        <v>27.88</v>
      </c>
      <c r="AF10" s="106">
        <f t="shared" si="7"/>
        <v>29.2</v>
      </c>
      <c r="AG10" s="104">
        <f t="shared" si="8"/>
        <v>43.67</v>
      </c>
      <c r="AH10" s="21">
        <f t="shared" si="9"/>
        <v>49.94</v>
      </c>
      <c r="AI10" s="21">
        <f t="shared" si="10"/>
        <v>218.38</v>
      </c>
      <c r="AJ10" s="21">
        <f t="shared" si="11"/>
        <v>256.43</v>
      </c>
      <c r="AL10" s="105">
        <f t="shared" si="12"/>
        <v>262</v>
      </c>
    </row>
    <row r="11" spans="1:38" x14ac:dyDescent="0.2">
      <c r="A11" s="125">
        <v>5</v>
      </c>
      <c r="B11" s="99">
        <v>66.959999999999994</v>
      </c>
      <c r="C11" s="99">
        <v>869.51</v>
      </c>
      <c r="D11" s="20">
        <v>34933.599999999999</v>
      </c>
      <c r="E11" s="20">
        <v>23288.47</v>
      </c>
      <c r="F11" s="106">
        <f t="shared" si="0"/>
        <v>58222.07</v>
      </c>
      <c r="G11" s="106">
        <f t="shared" si="1"/>
        <v>2911.1</v>
      </c>
      <c r="H11" s="106">
        <f t="shared" si="13"/>
        <v>242.59</v>
      </c>
      <c r="I11" s="106">
        <f t="shared" si="2"/>
        <v>2619.9899999999998</v>
      </c>
      <c r="J11" s="106">
        <f t="shared" si="14"/>
        <v>218.33</v>
      </c>
      <c r="L11" s="20">
        <v>88.33</v>
      </c>
      <c r="M11" s="20">
        <v>36.39</v>
      </c>
      <c r="N11" s="20">
        <v>43.67</v>
      </c>
      <c r="O11" s="20">
        <f t="shared" si="15"/>
        <v>49.94</v>
      </c>
      <c r="P11" s="20">
        <f t="shared" si="16"/>
        <v>218.33</v>
      </c>
      <c r="Q11" s="20">
        <f t="shared" si="17"/>
        <v>218.33</v>
      </c>
      <c r="R11" s="20">
        <v>1309.98</v>
      </c>
      <c r="S11" s="112">
        <f t="shared" si="18"/>
        <v>68381.820000000007</v>
      </c>
      <c r="T11" s="106">
        <f t="shared" si="19"/>
        <v>3419.09</v>
      </c>
      <c r="U11" s="106">
        <f t="shared" si="20"/>
        <v>284.92</v>
      </c>
      <c r="V11" s="106">
        <f t="shared" si="21"/>
        <v>3077.18</v>
      </c>
      <c r="W11" s="112">
        <f t="shared" si="22"/>
        <v>256.43</v>
      </c>
      <c r="X11" s="130">
        <f t="shared" si="23"/>
        <v>38.1</v>
      </c>
      <c r="Y11" s="113">
        <f t="shared" si="24"/>
        <v>0.17</v>
      </c>
      <c r="Z11" s="20">
        <v>1309.98</v>
      </c>
      <c r="AA11" s="109">
        <f t="shared" si="3"/>
        <v>1538.58</v>
      </c>
      <c r="AB11" s="106">
        <f t="shared" si="4"/>
        <v>228.6</v>
      </c>
      <c r="AD11" s="104">
        <f t="shared" si="5"/>
        <v>88.33</v>
      </c>
      <c r="AE11" s="106">
        <f t="shared" si="6"/>
        <v>36.39</v>
      </c>
      <c r="AF11" s="106">
        <f t="shared" si="7"/>
        <v>38.1</v>
      </c>
      <c r="AG11" s="104">
        <f t="shared" si="8"/>
        <v>27.06</v>
      </c>
      <c r="AH11" s="21">
        <f t="shared" si="9"/>
        <v>30.97</v>
      </c>
      <c r="AI11" s="21">
        <f t="shared" si="10"/>
        <v>220.85</v>
      </c>
      <c r="AJ11" s="21">
        <f t="shared" si="11"/>
        <v>158.93</v>
      </c>
      <c r="AL11" s="105">
        <f t="shared" si="12"/>
        <v>162.38</v>
      </c>
    </row>
    <row r="12" spans="1:38" x14ac:dyDescent="0.2">
      <c r="A12" s="125">
        <v>6</v>
      </c>
      <c r="B12" s="99">
        <v>41.5</v>
      </c>
      <c r="C12" s="99">
        <v>869.51</v>
      </c>
      <c r="D12" s="20">
        <v>21650.9</v>
      </c>
      <c r="E12" s="20">
        <v>14433.56</v>
      </c>
      <c r="F12" s="106">
        <f t="shared" si="0"/>
        <v>36084.46</v>
      </c>
      <c r="G12" s="106">
        <f t="shared" si="1"/>
        <v>1804.22</v>
      </c>
      <c r="H12" s="106">
        <f t="shared" si="13"/>
        <v>150.35</v>
      </c>
      <c r="I12" s="106">
        <f t="shared" si="2"/>
        <v>1623.8</v>
      </c>
      <c r="J12" s="106">
        <f t="shared" si="14"/>
        <v>135.32</v>
      </c>
      <c r="L12" s="20">
        <v>54.74</v>
      </c>
      <c r="M12" s="20">
        <v>22.55</v>
      </c>
      <c r="N12" s="20">
        <v>27.06</v>
      </c>
      <c r="O12" s="20">
        <f t="shared" si="15"/>
        <v>30.97</v>
      </c>
      <c r="P12" s="20">
        <f t="shared" si="16"/>
        <v>135.32</v>
      </c>
      <c r="Q12" s="20">
        <f t="shared" si="17"/>
        <v>135.32</v>
      </c>
      <c r="R12" s="20">
        <v>811.92</v>
      </c>
      <c r="S12" s="112">
        <f t="shared" si="18"/>
        <v>42381.2</v>
      </c>
      <c r="T12" s="106">
        <f t="shared" si="19"/>
        <v>2119.06</v>
      </c>
      <c r="U12" s="106">
        <f t="shared" si="20"/>
        <v>176.59</v>
      </c>
      <c r="V12" s="106">
        <f t="shared" si="21"/>
        <v>1907.15</v>
      </c>
      <c r="W12" s="112">
        <f t="shared" si="22"/>
        <v>158.93</v>
      </c>
      <c r="X12" s="130">
        <f t="shared" si="23"/>
        <v>23.61</v>
      </c>
      <c r="Y12" s="113">
        <f t="shared" si="24"/>
        <v>0.17</v>
      </c>
      <c r="Z12" s="20">
        <v>811.92</v>
      </c>
      <c r="AA12" s="109">
        <f t="shared" si="3"/>
        <v>953.58</v>
      </c>
      <c r="AB12" s="106">
        <f t="shared" si="4"/>
        <v>141.66</v>
      </c>
      <c r="AD12" s="104">
        <f t="shared" si="5"/>
        <v>54.74</v>
      </c>
      <c r="AE12" s="106">
        <f t="shared" si="6"/>
        <v>22.55</v>
      </c>
      <c r="AF12" s="106">
        <f t="shared" si="7"/>
        <v>23.61</v>
      </c>
      <c r="AG12" s="104">
        <f t="shared" si="8"/>
        <v>33.46</v>
      </c>
      <c r="AH12" s="21">
        <f t="shared" si="9"/>
        <v>38.270000000000003</v>
      </c>
      <c r="AI12" s="21">
        <f t="shared" si="10"/>
        <v>172.63</v>
      </c>
      <c r="AJ12" s="21">
        <f t="shared" si="11"/>
        <v>196.5</v>
      </c>
      <c r="AL12" s="105">
        <f t="shared" si="12"/>
        <v>200.76</v>
      </c>
    </row>
    <row r="13" spans="1:38" x14ac:dyDescent="0.2">
      <c r="A13" s="125">
        <v>7</v>
      </c>
      <c r="B13" s="99">
        <v>51.31</v>
      </c>
      <c r="C13" s="99">
        <v>869.51</v>
      </c>
      <c r="D13" s="20">
        <v>26768.86</v>
      </c>
      <c r="E13" s="20">
        <v>17845.45</v>
      </c>
      <c r="F13" s="106">
        <f t="shared" si="0"/>
        <v>44614.31</v>
      </c>
      <c r="G13" s="106">
        <f t="shared" si="1"/>
        <v>2230.7199999999998</v>
      </c>
      <c r="H13" s="106">
        <f t="shared" si="13"/>
        <v>185.89</v>
      </c>
      <c r="I13" s="106">
        <f t="shared" si="2"/>
        <v>2007.64</v>
      </c>
      <c r="J13" s="106">
        <f t="shared" si="14"/>
        <v>167.3</v>
      </c>
      <c r="L13" s="20">
        <v>67.69</v>
      </c>
      <c r="M13" s="20">
        <v>27.88</v>
      </c>
      <c r="N13" s="20">
        <v>33.46</v>
      </c>
      <c r="O13" s="20">
        <f t="shared" si="15"/>
        <v>38.270000000000003</v>
      </c>
      <c r="P13" s="20">
        <f t="shared" si="16"/>
        <v>167.3</v>
      </c>
      <c r="Q13" s="20">
        <f t="shared" si="17"/>
        <v>167.3</v>
      </c>
      <c r="R13" s="20">
        <v>1003.8</v>
      </c>
      <c r="S13" s="112">
        <f t="shared" si="18"/>
        <v>52399.51</v>
      </c>
      <c r="T13" s="106">
        <f t="shared" si="19"/>
        <v>2619.98</v>
      </c>
      <c r="U13" s="106">
        <f t="shared" si="20"/>
        <v>218.33</v>
      </c>
      <c r="V13" s="106">
        <f t="shared" si="21"/>
        <v>2357.98</v>
      </c>
      <c r="W13" s="112">
        <f t="shared" si="22"/>
        <v>196.5</v>
      </c>
      <c r="X13" s="130">
        <f t="shared" si="23"/>
        <v>29.2</v>
      </c>
      <c r="Y13" s="113">
        <f t="shared" si="24"/>
        <v>0.17</v>
      </c>
      <c r="Z13" s="20">
        <v>1003.8</v>
      </c>
      <c r="AA13" s="109">
        <f t="shared" si="3"/>
        <v>1179</v>
      </c>
      <c r="AB13" s="106">
        <f t="shared" si="4"/>
        <v>175.2</v>
      </c>
      <c r="AD13" s="104">
        <f t="shared" si="5"/>
        <v>67.69</v>
      </c>
      <c r="AE13" s="106">
        <f t="shared" si="6"/>
        <v>27.88</v>
      </c>
      <c r="AF13" s="106">
        <f t="shared" si="7"/>
        <v>29.2</v>
      </c>
      <c r="AG13" s="104">
        <f t="shared" si="8"/>
        <v>43.48</v>
      </c>
      <c r="AH13" s="21">
        <f t="shared" si="9"/>
        <v>49.74</v>
      </c>
      <c r="AI13" s="21">
        <f t="shared" si="10"/>
        <v>217.99</v>
      </c>
      <c r="AJ13" s="21">
        <f t="shared" si="11"/>
        <v>255.36</v>
      </c>
      <c r="AL13" s="105">
        <f t="shared" si="12"/>
        <v>260.89999999999998</v>
      </c>
    </row>
    <row r="14" spans="1:38" x14ac:dyDescent="0.2">
      <c r="A14" s="125">
        <v>8</v>
      </c>
      <c r="B14" s="99">
        <v>66.680000000000007</v>
      </c>
      <c r="C14" s="99">
        <v>869.51</v>
      </c>
      <c r="D14" s="20">
        <v>34787.519999999997</v>
      </c>
      <c r="E14" s="20">
        <v>23191.09</v>
      </c>
      <c r="F14" s="106">
        <f t="shared" si="0"/>
        <v>57978.61</v>
      </c>
      <c r="G14" s="106">
        <f t="shared" si="1"/>
        <v>2898.93</v>
      </c>
      <c r="H14" s="106">
        <f t="shared" si="13"/>
        <v>241.58</v>
      </c>
      <c r="I14" s="106">
        <f t="shared" si="2"/>
        <v>2609.04</v>
      </c>
      <c r="J14" s="106">
        <f t="shared" si="14"/>
        <v>217.42</v>
      </c>
      <c r="L14" s="20">
        <v>87.96</v>
      </c>
      <c r="M14" s="20">
        <v>36.24</v>
      </c>
      <c r="N14" s="20">
        <v>43.48</v>
      </c>
      <c r="O14" s="20">
        <f t="shared" si="15"/>
        <v>49.74</v>
      </c>
      <c r="P14" s="20">
        <f t="shared" si="16"/>
        <v>217.42</v>
      </c>
      <c r="Q14" s="20">
        <f t="shared" si="17"/>
        <v>217.42</v>
      </c>
      <c r="R14" s="20">
        <v>1304.52</v>
      </c>
      <c r="S14" s="112">
        <f t="shared" si="18"/>
        <v>68095.88</v>
      </c>
      <c r="T14" s="106">
        <f t="shared" si="19"/>
        <v>3404.79</v>
      </c>
      <c r="U14" s="106">
        <f t="shared" si="20"/>
        <v>283.73</v>
      </c>
      <c r="V14" s="106">
        <f t="shared" si="21"/>
        <v>3064.31</v>
      </c>
      <c r="W14" s="112">
        <f t="shared" si="22"/>
        <v>255.36</v>
      </c>
      <c r="X14" s="130">
        <f t="shared" si="23"/>
        <v>37.94</v>
      </c>
      <c r="Y14" s="113">
        <f t="shared" si="24"/>
        <v>0.17</v>
      </c>
      <c r="Z14" s="20">
        <v>1304.52</v>
      </c>
      <c r="AA14" s="109">
        <f t="shared" si="3"/>
        <v>1532.16</v>
      </c>
      <c r="AB14" s="106">
        <f t="shared" si="4"/>
        <v>227.64</v>
      </c>
      <c r="AD14" s="104">
        <f t="shared" si="5"/>
        <v>87.96</v>
      </c>
      <c r="AE14" s="106">
        <f t="shared" si="6"/>
        <v>36.24</v>
      </c>
      <c r="AF14" s="106">
        <f t="shared" si="7"/>
        <v>37.94</v>
      </c>
      <c r="AG14" s="104">
        <f t="shared" si="8"/>
        <v>26.88</v>
      </c>
      <c r="AH14" s="21">
        <f t="shared" si="9"/>
        <v>30.74</v>
      </c>
      <c r="AI14" s="21">
        <f t="shared" si="10"/>
        <v>219.76</v>
      </c>
      <c r="AJ14" s="21">
        <f t="shared" si="11"/>
        <v>157.86000000000001</v>
      </c>
      <c r="AL14" s="105">
        <f t="shared" si="12"/>
        <v>161.28</v>
      </c>
    </row>
    <row r="15" spans="1:38" x14ac:dyDescent="0.2">
      <c r="A15" s="125">
        <v>9</v>
      </c>
      <c r="B15" s="99">
        <v>41.22</v>
      </c>
      <c r="C15" s="99">
        <v>869.51</v>
      </c>
      <c r="D15" s="20">
        <v>21504.82</v>
      </c>
      <c r="E15" s="20">
        <v>14336.18</v>
      </c>
      <c r="F15" s="106">
        <f t="shared" si="0"/>
        <v>35841</v>
      </c>
      <c r="G15" s="106">
        <f t="shared" si="1"/>
        <v>1792.05</v>
      </c>
      <c r="H15" s="106">
        <f t="shared" si="13"/>
        <v>149.34</v>
      </c>
      <c r="I15" s="106">
        <f t="shared" si="2"/>
        <v>1612.85</v>
      </c>
      <c r="J15" s="106">
        <f t="shared" si="14"/>
        <v>134.4</v>
      </c>
      <c r="L15" s="20">
        <v>54.38</v>
      </c>
      <c r="M15" s="20">
        <v>22.4</v>
      </c>
      <c r="N15" s="20">
        <v>26.88</v>
      </c>
      <c r="O15" s="20">
        <f t="shared" si="15"/>
        <v>30.74</v>
      </c>
      <c r="P15" s="20">
        <f t="shared" si="16"/>
        <v>134.4</v>
      </c>
      <c r="Q15" s="20">
        <f t="shared" si="17"/>
        <v>134.4</v>
      </c>
      <c r="R15" s="20">
        <v>806.4</v>
      </c>
      <c r="S15" s="112">
        <f t="shared" si="18"/>
        <v>42095.25</v>
      </c>
      <c r="T15" s="106">
        <f t="shared" si="19"/>
        <v>2104.7600000000002</v>
      </c>
      <c r="U15" s="106">
        <f t="shared" si="20"/>
        <v>175.4</v>
      </c>
      <c r="V15" s="106">
        <f t="shared" si="21"/>
        <v>1894.29</v>
      </c>
      <c r="W15" s="112">
        <f t="shared" si="22"/>
        <v>157.86000000000001</v>
      </c>
      <c r="X15" s="130">
        <f t="shared" si="23"/>
        <v>23.46</v>
      </c>
      <c r="Y15" s="113">
        <f t="shared" si="24"/>
        <v>0.17</v>
      </c>
      <c r="Z15" s="20">
        <v>806.4</v>
      </c>
      <c r="AA15" s="109">
        <f t="shared" si="3"/>
        <v>947.16</v>
      </c>
      <c r="AB15" s="106">
        <f t="shared" si="4"/>
        <v>140.76</v>
      </c>
      <c r="AD15" s="104">
        <f t="shared" si="5"/>
        <v>54.38</v>
      </c>
      <c r="AE15" s="106">
        <f t="shared" si="6"/>
        <v>22.4</v>
      </c>
      <c r="AF15" s="106">
        <f t="shared" si="7"/>
        <v>23.46</v>
      </c>
      <c r="AG15" s="104">
        <f t="shared" si="8"/>
        <v>33.46</v>
      </c>
      <c r="AH15" s="21">
        <f t="shared" si="9"/>
        <v>38.270000000000003</v>
      </c>
      <c r="AI15" s="21">
        <f t="shared" si="10"/>
        <v>171.97</v>
      </c>
      <c r="AJ15" s="21">
        <f t="shared" si="11"/>
        <v>196.5</v>
      </c>
      <c r="AL15" s="105">
        <f t="shared" si="12"/>
        <v>200.76</v>
      </c>
    </row>
    <row r="16" spans="1:38" x14ac:dyDescent="0.2">
      <c r="A16" s="125">
        <v>10</v>
      </c>
      <c r="B16" s="99">
        <v>51.31</v>
      </c>
      <c r="C16" s="99">
        <v>869.51</v>
      </c>
      <c r="D16" s="20">
        <v>26768.86</v>
      </c>
      <c r="E16" s="20">
        <v>17845.45</v>
      </c>
      <c r="F16" s="106">
        <f t="shared" si="0"/>
        <v>44614.31</v>
      </c>
      <c r="G16" s="106">
        <f t="shared" si="1"/>
        <v>2230.7199999999998</v>
      </c>
      <c r="H16" s="106">
        <f t="shared" si="13"/>
        <v>185.89</v>
      </c>
      <c r="I16" s="106">
        <f t="shared" si="2"/>
        <v>2007.64</v>
      </c>
      <c r="J16" s="106">
        <f t="shared" si="14"/>
        <v>167.3</v>
      </c>
      <c r="L16" s="20">
        <v>67.69</v>
      </c>
      <c r="M16" s="20">
        <v>27.88</v>
      </c>
      <c r="N16" s="20">
        <v>33.46</v>
      </c>
      <c r="O16" s="20">
        <f t="shared" si="15"/>
        <v>38.270000000000003</v>
      </c>
      <c r="P16" s="20">
        <f t="shared" si="16"/>
        <v>167.3</v>
      </c>
      <c r="Q16" s="20">
        <f t="shared" si="17"/>
        <v>167.3</v>
      </c>
      <c r="R16" s="20">
        <v>1003.8</v>
      </c>
      <c r="S16" s="112">
        <f t="shared" si="18"/>
        <v>52399.51</v>
      </c>
      <c r="T16" s="106">
        <f t="shared" si="19"/>
        <v>2619.98</v>
      </c>
      <c r="U16" s="106">
        <f t="shared" si="20"/>
        <v>218.33</v>
      </c>
      <c r="V16" s="106">
        <f t="shared" si="21"/>
        <v>2357.98</v>
      </c>
      <c r="W16" s="112">
        <f t="shared" si="22"/>
        <v>196.5</v>
      </c>
      <c r="X16" s="130">
        <f t="shared" si="23"/>
        <v>29.2</v>
      </c>
      <c r="Y16" s="113">
        <f t="shared" si="24"/>
        <v>0.17</v>
      </c>
      <c r="Z16" s="20">
        <v>1003.8</v>
      </c>
      <c r="AA16" s="109">
        <f t="shared" si="3"/>
        <v>1179</v>
      </c>
      <c r="AB16" s="106">
        <f t="shared" si="4"/>
        <v>175.2</v>
      </c>
      <c r="AD16" s="104">
        <f t="shared" si="5"/>
        <v>67.69</v>
      </c>
      <c r="AE16" s="106">
        <f t="shared" si="6"/>
        <v>27.88</v>
      </c>
      <c r="AF16" s="106">
        <f t="shared" si="7"/>
        <v>29.2</v>
      </c>
      <c r="AG16" s="104">
        <f t="shared" si="8"/>
        <v>43.48</v>
      </c>
      <c r="AH16" s="21">
        <f t="shared" si="9"/>
        <v>49.74</v>
      </c>
      <c r="AI16" s="21">
        <f t="shared" si="10"/>
        <v>217.99</v>
      </c>
      <c r="AJ16" s="21">
        <f t="shared" si="11"/>
        <v>255.36</v>
      </c>
      <c r="AL16" s="105">
        <f t="shared" si="12"/>
        <v>260.89999999999998</v>
      </c>
    </row>
    <row r="17" spans="1:124" x14ac:dyDescent="0.2">
      <c r="A17" s="125">
        <v>11</v>
      </c>
      <c r="B17" s="99">
        <v>66.680000000000007</v>
      </c>
      <c r="C17" s="99">
        <v>869.51</v>
      </c>
      <c r="D17" s="20">
        <v>34787.519999999997</v>
      </c>
      <c r="E17" s="20">
        <v>23191.09</v>
      </c>
      <c r="F17" s="106">
        <f t="shared" si="0"/>
        <v>57978.61</v>
      </c>
      <c r="G17" s="106">
        <f t="shared" si="1"/>
        <v>2898.93</v>
      </c>
      <c r="H17" s="106">
        <f t="shared" si="13"/>
        <v>241.58</v>
      </c>
      <c r="I17" s="106">
        <f t="shared" si="2"/>
        <v>2609.04</v>
      </c>
      <c r="J17" s="106">
        <f t="shared" si="14"/>
        <v>217.42</v>
      </c>
      <c r="L17" s="20">
        <v>87.96</v>
      </c>
      <c r="M17" s="20">
        <v>36.24</v>
      </c>
      <c r="N17" s="20">
        <v>43.48</v>
      </c>
      <c r="O17" s="20">
        <f t="shared" si="15"/>
        <v>49.74</v>
      </c>
      <c r="P17" s="20">
        <f t="shared" si="16"/>
        <v>217.42</v>
      </c>
      <c r="Q17" s="20">
        <f t="shared" si="17"/>
        <v>217.42</v>
      </c>
      <c r="R17" s="20">
        <v>1304.52</v>
      </c>
      <c r="S17" s="112">
        <f t="shared" si="18"/>
        <v>68095.88</v>
      </c>
      <c r="T17" s="106">
        <f t="shared" si="19"/>
        <v>3404.79</v>
      </c>
      <c r="U17" s="106">
        <f t="shared" si="20"/>
        <v>283.73</v>
      </c>
      <c r="V17" s="106">
        <f t="shared" si="21"/>
        <v>3064.31</v>
      </c>
      <c r="W17" s="112">
        <f t="shared" si="22"/>
        <v>255.36</v>
      </c>
      <c r="X17" s="130">
        <f t="shared" si="23"/>
        <v>37.94</v>
      </c>
      <c r="Y17" s="113">
        <f t="shared" si="24"/>
        <v>0.17</v>
      </c>
      <c r="Z17" s="20">
        <v>1304.52</v>
      </c>
      <c r="AA17" s="109">
        <f t="shared" si="3"/>
        <v>1532.16</v>
      </c>
      <c r="AB17" s="106">
        <f t="shared" si="4"/>
        <v>227.64</v>
      </c>
      <c r="AD17" s="104">
        <f t="shared" si="5"/>
        <v>87.96</v>
      </c>
      <c r="AE17" s="106">
        <f t="shared" si="6"/>
        <v>36.24</v>
      </c>
      <c r="AF17" s="106">
        <f t="shared" si="7"/>
        <v>37.94</v>
      </c>
      <c r="AG17" s="104">
        <f t="shared" si="8"/>
        <v>26.88</v>
      </c>
      <c r="AH17" s="21">
        <f t="shared" si="9"/>
        <v>30.74</v>
      </c>
      <c r="AI17" s="21">
        <f t="shared" si="10"/>
        <v>219.76</v>
      </c>
      <c r="AJ17" s="21">
        <f t="shared" si="11"/>
        <v>157.86000000000001</v>
      </c>
      <c r="AL17" s="105">
        <f t="shared" si="12"/>
        <v>161.28</v>
      </c>
    </row>
    <row r="18" spans="1:124" x14ac:dyDescent="0.2">
      <c r="A18" s="125">
        <v>12</v>
      </c>
      <c r="B18" s="99">
        <v>41.22</v>
      </c>
      <c r="C18" s="99">
        <v>869.51</v>
      </c>
      <c r="D18" s="20">
        <v>21504.82</v>
      </c>
      <c r="E18" s="20">
        <v>14336.18</v>
      </c>
      <c r="F18" s="106">
        <f t="shared" si="0"/>
        <v>35841</v>
      </c>
      <c r="G18" s="106">
        <f t="shared" si="1"/>
        <v>1792.05</v>
      </c>
      <c r="H18" s="106">
        <f t="shared" si="13"/>
        <v>149.34</v>
      </c>
      <c r="I18" s="106">
        <f t="shared" si="2"/>
        <v>1612.85</v>
      </c>
      <c r="J18" s="106">
        <f t="shared" si="14"/>
        <v>134.4</v>
      </c>
      <c r="L18" s="20">
        <v>54.38</v>
      </c>
      <c r="M18" s="20">
        <v>22.4</v>
      </c>
      <c r="N18" s="20">
        <v>26.88</v>
      </c>
      <c r="O18" s="20">
        <f t="shared" si="15"/>
        <v>30.74</v>
      </c>
      <c r="P18" s="20">
        <f t="shared" si="16"/>
        <v>134.4</v>
      </c>
      <c r="Q18" s="20">
        <f t="shared" si="17"/>
        <v>134.4</v>
      </c>
      <c r="R18" s="20">
        <v>806.4</v>
      </c>
      <c r="S18" s="112">
        <f t="shared" si="18"/>
        <v>42095.25</v>
      </c>
      <c r="T18" s="106">
        <f t="shared" si="19"/>
        <v>2104.7600000000002</v>
      </c>
      <c r="U18" s="106">
        <f t="shared" si="20"/>
        <v>175.4</v>
      </c>
      <c r="V18" s="106">
        <f t="shared" si="21"/>
        <v>1894.29</v>
      </c>
      <c r="W18" s="112">
        <f t="shared" si="22"/>
        <v>157.86000000000001</v>
      </c>
      <c r="X18" s="130">
        <f t="shared" si="23"/>
        <v>23.46</v>
      </c>
      <c r="Y18" s="113">
        <f t="shared" si="24"/>
        <v>0.17</v>
      </c>
      <c r="Z18" s="20">
        <v>806.4</v>
      </c>
      <c r="AA18" s="109">
        <f t="shared" si="3"/>
        <v>947.16</v>
      </c>
      <c r="AB18" s="106">
        <f t="shared" si="4"/>
        <v>140.76</v>
      </c>
      <c r="AD18" s="104">
        <f t="shared" si="5"/>
        <v>54.38</v>
      </c>
      <c r="AE18" s="106">
        <f t="shared" si="6"/>
        <v>22.4</v>
      </c>
      <c r="AF18" s="106">
        <f t="shared" si="7"/>
        <v>23.46</v>
      </c>
      <c r="AG18" s="104">
        <f t="shared" si="8"/>
        <v>32.04</v>
      </c>
      <c r="AH18" s="21">
        <f t="shared" si="9"/>
        <v>36.65</v>
      </c>
      <c r="AI18" s="21">
        <f t="shared" si="10"/>
        <v>168.93</v>
      </c>
      <c r="AJ18" s="21">
        <f t="shared" si="11"/>
        <v>188.15</v>
      </c>
      <c r="AL18" s="105">
        <f t="shared" si="12"/>
        <v>192.24</v>
      </c>
    </row>
    <row r="19" spans="1:124" x14ac:dyDescent="0.2">
      <c r="A19" s="125">
        <v>1</v>
      </c>
      <c r="B19" s="99">
        <v>49.13</v>
      </c>
      <c r="C19" s="99">
        <v>869.51</v>
      </c>
      <c r="D19" s="20">
        <v>25631.53</v>
      </c>
      <c r="E19" s="20">
        <v>17087.25</v>
      </c>
      <c r="F19" s="106">
        <f t="shared" si="0"/>
        <v>42718.78</v>
      </c>
      <c r="G19" s="106">
        <f t="shared" si="1"/>
        <v>2135.94</v>
      </c>
      <c r="H19" s="106">
        <f t="shared" si="13"/>
        <v>178</v>
      </c>
      <c r="I19" s="106">
        <f t="shared" si="2"/>
        <v>1922.35</v>
      </c>
      <c r="J19" s="106">
        <f t="shared" si="14"/>
        <v>160.19999999999999</v>
      </c>
      <c r="L19" s="20">
        <v>64.81</v>
      </c>
      <c r="M19" s="20">
        <v>26.7</v>
      </c>
      <c r="N19" s="20">
        <v>32.04</v>
      </c>
      <c r="O19" s="20">
        <f t="shared" si="15"/>
        <v>36.65</v>
      </c>
      <c r="P19" s="20">
        <f t="shared" si="16"/>
        <v>160.19999999999999</v>
      </c>
      <c r="Q19" s="20">
        <f t="shared" si="17"/>
        <v>160.19999999999999</v>
      </c>
      <c r="R19" s="20">
        <v>961.2</v>
      </c>
      <c r="S19" s="112">
        <f t="shared" si="18"/>
        <v>50173.21</v>
      </c>
      <c r="T19" s="106">
        <f t="shared" si="19"/>
        <v>2508.66</v>
      </c>
      <c r="U19" s="106">
        <f t="shared" si="20"/>
        <v>209.06</v>
      </c>
      <c r="V19" s="106">
        <f t="shared" si="21"/>
        <v>2257.79</v>
      </c>
      <c r="W19" s="112">
        <f t="shared" si="22"/>
        <v>188.15</v>
      </c>
      <c r="X19" s="130">
        <f t="shared" si="23"/>
        <v>27.95</v>
      </c>
      <c r="Y19" s="113">
        <f t="shared" si="24"/>
        <v>0.17</v>
      </c>
      <c r="Z19" s="20">
        <v>961.2</v>
      </c>
      <c r="AA19" s="109">
        <f t="shared" si="3"/>
        <v>1128.9000000000001</v>
      </c>
      <c r="AB19" s="106">
        <f t="shared" si="4"/>
        <v>167.7</v>
      </c>
      <c r="AD19" s="104">
        <f t="shared" si="5"/>
        <v>64.81</v>
      </c>
      <c r="AE19" s="106">
        <f t="shared" si="6"/>
        <v>26.7</v>
      </c>
      <c r="AF19" s="106">
        <f t="shared" si="7"/>
        <v>27.95</v>
      </c>
      <c r="AG19" s="104">
        <f t="shared" si="8"/>
        <v>22.09</v>
      </c>
      <c r="AH19" s="21">
        <f t="shared" si="9"/>
        <v>25.26</v>
      </c>
      <c r="AI19" s="21">
        <f t="shared" si="10"/>
        <v>166.81</v>
      </c>
      <c r="AJ19" s="21">
        <f t="shared" si="11"/>
        <v>129.71</v>
      </c>
      <c r="AL19" s="105">
        <f t="shared" si="12"/>
        <v>132.53</v>
      </c>
    </row>
    <row r="20" spans="1:124" x14ac:dyDescent="0.2">
      <c r="A20" s="125">
        <v>2</v>
      </c>
      <c r="B20" s="99">
        <v>33.869999999999997</v>
      </c>
      <c r="C20" s="99">
        <v>869.51</v>
      </c>
      <c r="D20" s="20">
        <v>17670.259999999998</v>
      </c>
      <c r="E20" s="20">
        <v>11779.87</v>
      </c>
      <c r="F20" s="106">
        <f t="shared" si="0"/>
        <v>29450.13</v>
      </c>
      <c r="G20" s="106">
        <f t="shared" si="1"/>
        <v>1472.51</v>
      </c>
      <c r="H20" s="106">
        <f t="shared" si="13"/>
        <v>122.71</v>
      </c>
      <c r="I20" s="106">
        <f t="shared" si="2"/>
        <v>1325.26</v>
      </c>
      <c r="J20" s="106">
        <f t="shared" si="14"/>
        <v>110.44</v>
      </c>
      <c r="L20" s="20">
        <v>44.68</v>
      </c>
      <c r="M20" s="20">
        <v>18.41</v>
      </c>
      <c r="N20" s="20">
        <v>22.09</v>
      </c>
      <c r="O20" s="20">
        <f t="shared" si="15"/>
        <v>25.26</v>
      </c>
      <c r="P20" s="20">
        <f t="shared" si="16"/>
        <v>110.44</v>
      </c>
      <c r="Q20" s="20">
        <f t="shared" si="17"/>
        <v>110.44</v>
      </c>
      <c r="R20" s="20">
        <v>662.64</v>
      </c>
      <c r="S20" s="112">
        <f t="shared" si="18"/>
        <v>34589.18</v>
      </c>
      <c r="T20" s="106">
        <f t="shared" si="19"/>
        <v>1729.46</v>
      </c>
      <c r="U20" s="106">
        <f t="shared" si="20"/>
        <v>144.12</v>
      </c>
      <c r="V20" s="106">
        <f t="shared" si="21"/>
        <v>1556.51</v>
      </c>
      <c r="W20" s="112">
        <f t="shared" si="22"/>
        <v>129.71</v>
      </c>
      <c r="X20" s="130">
        <f t="shared" si="23"/>
        <v>19.27</v>
      </c>
      <c r="Y20" s="113">
        <f t="shared" si="24"/>
        <v>0.17</v>
      </c>
      <c r="Z20" s="20">
        <v>662.64</v>
      </c>
      <c r="AA20" s="109">
        <f t="shared" si="3"/>
        <v>778.26</v>
      </c>
      <c r="AB20" s="106">
        <f t="shared" si="4"/>
        <v>115.62</v>
      </c>
      <c r="AD20" s="104">
        <f t="shared" si="5"/>
        <v>44.68</v>
      </c>
      <c r="AE20" s="106">
        <f t="shared" si="6"/>
        <v>18.41</v>
      </c>
      <c r="AF20" s="106">
        <f t="shared" si="7"/>
        <v>19.27</v>
      </c>
      <c r="AG20" s="104">
        <f t="shared" si="8"/>
        <v>25.02</v>
      </c>
      <c r="AH20" s="21">
        <f t="shared" si="9"/>
        <v>28.62</v>
      </c>
      <c r="AI20" s="21">
        <f t="shared" si="10"/>
        <v>136</v>
      </c>
      <c r="AJ20" s="21">
        <f t="shared" si="11"/>
        <v>146.94</v>
      </c>
      <c r="AL20" s="105">
        <f t="shared" si="12"/>
        <v>150.13</v>
      </c>
    </row>
    <row r="21" spans="1:124" x14ac:dyDescent="0.2">
      <c r="A21" s="125">
        <v>3</v>
      </c>
      <c r="B21" s="99">
        <v>38.369999999999997</v>
      </c>
      <c r="C21" s="99">
        <v>869.51</v>
      </c>
      <c r="D21" s="20">
        <v>20017.95</v>
      </c>
      <c r="E21" s="20">
        <v>13344.96</v>
      </c>
      <c r="F21" s="106">
        <f t="shared" si="0"/>
        <v>33362.910000000003</v>
      </c>
      <c r="G21" s="106">
        <f t="shared" si="1"/>
        <v>1668.15</v>
      </c>
      <c r="H21" s="106">
        <f t="shared" si="13"/>
        <v>139.01</v>
      </c>
      <c r="I21" s="106">
        <f t="shared" si="2"/>
        <v>1501.33</v>
      </c>
      <c r="J21" s="106">
        <f t="shared" si="14"/>
        <v>125.11</v>
      </c>
      <c r="L21" s="20">
        <v>50.62</v>
      </c>
      <c r="M21" s="20">
        <v>20.85</v>
      </c>
      <c r="N21" s="20">
        <v>25.02</v>
      </c>
      <c r="O21" s="20">
        <f t="shared" si="15"/>
        <v>28.62</v>
      </c>
      <c r="P21" s="20">
        <f t="shared" si="16"/>
        <v>125.11</v>
      </c>
      <c r="Q21" s="20">
        <f t="shared" si="17"/>
        <v>125.11</v>
      </c>
      <c r="R21" s="20">
        <v>750.66</v>
      </c>
      <c r="S21" s="112">
        <f t="shared" si="18"/>
        <v>39184.74</v>
      </c>
      <c r="T21" s="106">
        <f t="shared" si="19"/>
        <v>1959.24</v>
      </c>
      <c r="U21" s="106">
        <f t="shared" si="20"/>
        <v>163.27000000000001</v>
      </c>
      <c r="V21" s="106">
        <f t="shared" si="21"/>
        <v>1763.31</v>
      </c>
      <c r="W21" s="112">
        <f t="shared" si="22"/>
        <v>146.94</v>
      </c>
      <c r="X21" s="130">
        <f t="shared" si="23"/>
        <v>21.83</v>
      </c>
      <c r="Y21" s="113">
        <f t="shared" si="24"/>
        <v>0.17</v>
      </c>
      <c r="Z21" s="20">
        <v>750.66</v>
      </c>
      <c r="AA21" s="109">
        <f t="shared" si="3"/>
        <v>881.64</v>
      </c>
      <c r="AB21" s="106">
        <f t="shared" si="4"/>
        <v>130.97999999999999</v>
      </c>
      <c r="AD21" s="104">
        <f t="shared" si="5"/>
        <v>50.62</v>
      </c>
      <c r="AE21" s="106">
        <f t="shared" si="6"/>
        <v>20.85</v>
      </c>
      <c r="AF21" s="106">
        <f t="shared" si="7"/>
        <v>21.83</v>
      </c>
      <c r="AG21" s="104">
        <f t="shared" si="8"/>
        <v>33.46</v>
      </c>
      <c r="AH21" s="21">
        <f t="shared" si="9"/>
        <v>38.270000000000003</v>
      </c>
      <c r="AI21" s="21">
        <f t="shared" si="10"/>
        <v>165.03</v>
      </c>
      <c r="AJ21" s="21">
        <f t="shared" si="11"/>
        <v>196.5</v>
      </c>
      <c r="AL21" s="105">
        <f t="shared" si="12"/>
        <v>200.76</v>
      </c>
    </row>
    <row r="22" spans="1:124" x14ac:dyDescent="0.2">
      <c r="A22" s="125">
        <v>4</v>
      </c>
      <c r="B22" s="99">
        <v>51.31</v>
      </c>
      <c r="C22" s="99">
        <v>869.51</v>
      </c>
      <c r="D22" s="20">
        <v>26768.86</v>
      </c>
      <c r="E22" s="20">
        <v>17845.45</v>
      </c>
      <c r="F22" s="106">
        <f t="shared" si="0"/>
        <v>44614.31</v>
      </c>
      <c r="G22" s="106">
        <f t="shared" si="1"/>
        <v>2230.7199999999998</v>
      </c>
      <c r="H22" s="106">
        <f t="shared" si="13"/>
        <v>185.89</v>
      </c>
      <c r="I22" s="106">
        <f t="shared" si="2"/>
        <v>2007.64</v>
      </c>
      <c r="J22" s="106">
        <f t="shared" si="14"/>
        <v>167.3</v>
      </c>
      <c r="L22" s="20">
        <v>67.69</v>
      </c>
      <c r="M22" s="20">
        <v>27.88</v>
      </c>
      <c r="N22" s="20">
        <v>33.46</v>
      </c>
      <c r="O22" s="20">
        <f t="shared" si="15"/>
        <v>38.270000000000003</v>
      </c>
      <c r="P22" s="20">
        <f t="shared" si="16"/>
        <v>167.3</v>
      </c>
      <c r="Q22" s="20">
        <f t="shared" si="17"/>
        <v>167.3</v>
      </c>
      <c r="R22" s="20">
        <v>1003.8</v>
      </c>
      <c r="S22" s="112">
        <f t="shared" si="18"/>
        <v>52399.51</v>
      </c>
      <c r="T22" s="106">
        <f t="shared" si="19"/>
        <v>2619.98</v>
      </c>
      <c r="U22" s="106">
        <f t="shared" si="20"/>
        <v>218.33</v>
      </c>
      <c r="V22" s="106">
        <f t="shared" si="21"/>
        <v>2357.98</v>
      </c>
      <c r="W22" s="112">
        <f t="shared" si="22"/>
        <v>196.5</v>
      </c>
      <c r="X22" s="130">
        <f t="shared" si="23"/>
        <v>29.2</v>
      </c>
      <c r="Y22" s="113">
        <f t="shared" si="24"/>
        <v>0.17</v>
      </c>
      <c r="Z22" s="20">
        <v>1003.8</v>
      </c>
      <c r="AA22" s="109">
        <f t="shared" si="3"/>
        <v>1179</v>
      </c>
      <c r="AB22" s="106">
        <f t="shared" si="4"/>
        <v>175.2</v>
      </c>
      <c r="AD22" s="104">
        <f t="shared" si="5"/>
        <v>67.69</v>
      </c>
      <c r="AE22" s="106">
        <f t="shared" si="6"/>
        <v>27.88</v>
      </c>
      <c r="AF22" s="106">
        <f t="shared" si="7"/>
        <v>29.2</v>
      </c>
      <c r="AG22" s="104">
        <f t="shared" si="8"/>
        <v>43.67</v>
      </c>
      <c r="AH22" s="21">
        <f t="shared" si="9"/>
        <v>49.94</v>
      </c>
      <c r="AI22" s="21">
        <f t="shared" si="10"/>
        <v>218.38</v>
      </c>
      <c r="AJ22" s="21">
        <f t="shared" si="11"/>
        <v>256.43</v>
      </c>
      <c r="AL22" s="105">
        <f t="shared" si="12"/>
        <v>262</v>
      </c>
    </row>
    <row r="23" spans="1:124" x14ac:dyDescent="0.2">
      <c r="A23" s="125">
        <v>5</v>
      </c>
      <c r="B23" s="99">
        <v>66.959999999999994</v>
      </c>
      <c r="C23" s="99">
        <v>869.51</v>
      </c>
      <c r="D23" s="20">
        <v>34933.599999999999</v>
      </c>
      <c r="E23" s="20">
        <v>23288.47</v>
      </c>
      <c r="F23" s="106">
        <f t="shared" si="0"/>
        <v>58222.07</v>
      </c>
      <c r="G23" s="106">
        <f t="shared" si="1"/>
        <v>2911.1</v>
      </c>
      <c r="H23" s="106">
        <f t="shared" si="13"/>
        <v>242.59</v>
      </c>
      <c r="I23" s="106">
        <f t="shared" si="2"/>
        <v>2619.9899999999998</v>
      </c>
      <c r="J23" s="106">
        <f t="shared" si="14"/>
        <v>218.33</v>
      </c>
      <c r="L23" s="20">
        <v>88.33</v>
      </c>
      <c r="M23" s="20">
        <v>36.39</v>
      </c>
      <c r="N23" s="20">
        <v>43.67</v>
      </c>
      <c r="O23" s="20">
        <f t="shared" si="15"/>
        <v>49.94</v>
      </c>
      <c r="P23" s="20">
        <f t="shared" si="16"/>
        <v>218.33</v>
      </c>
      <c r="Q23" s="20">
        <f t="shared" si="17"/>
        <v>218.33</v>
      </c>
      <c r="R23" s="20">
        <v>1309.98</v>
      </c>
      <c r="S23" s="112">
        <f t="shared" si="18"/>
        <v>68381.820000000007</v>
      </c>
      <c r="T23" s="106">
        <f t="shared" si="19"/>
        <v>3419.09</v>
      </c>
      <c r="U23" s="106">
        <f t="shared" si="20"/>
        <v>284.92</v>
      </c>
      <c r="V23" s="106">
        <f t="shared" si="21"/>
        <v>3077.18</v>
      </c>
      <c r="W23" s="112">
        <f t="shared" si="22"/>
        <v>256.43</v>
      </c>
      <c r="X23" s="130">
        <f t="shared" si="23"/>
        <v>38.1</v>
      </c>
      <c r="Y23" s="113">
        <f t="shared" si="24"/>
        <v>0.17</v>
      </c>
      <c r="Z23" s="20">
        <v>1309.98</v>
      </c>
      <c r="AA23" s="109">
        <f t="shared" si="3"/>
        <v>1538.58</v>
      </c>
      <c r="AB23" s="106">
        <f t="shared" si="4"/>
        <v>228.6</v>
      </c>
      <c r="AD23" s="104">
        <f t="shared" si="5"/>
        <v>88.33</v>
      </c>
      <c r="AE23" s="106">
        <f t="shared" si="6"/>
        <v>36.39</v>
      </c>
      <c r="AF23" s="106">
        <f t="shared" si="7"/>
        <v>38.1</v>
      </c>
      <c r="AG23" s="104">
        <f t="shared" si="8"/>
        <v>27.06</v>
      </c>
      <c r="AH23" s="21">
        <f t="shared" si="9"/>
        <v>30.97</v>
      </c>
      <c r="AI23" s="21">
        <f t="shared" si="10"/>
        <v>220.85</v>
      </c>
      <c r="AJ23" s="21">
        <f t="shared" si="11"/>
        <v>158.93</v>
      </c>
      <c r="AL23" s="105">
        <f t="shared" si="12"/>
        <v>162.38</v>
      </c>
    </row>
    <row r="24" spans="1:124" x14ac:dyDescent="0.2">
      <c r="A24" s="125">
        <v>6</v>
      </c>
      <c r="B24" s="99">
        <v>41.5</v>
      </c>
      <c r="C24" s="99">
        <v>869.51</v>
      </c>
      <c r="D24" s="20">
        <v>21650.9</v>
      </c>
      <c r="E24" s="20">
        <v>14433.56</v>
      </c>
      <c r="F24" s="106">
        <f t="shared" si="0"/>
        <v>36084.46</v>
      </c>
      <c r="G24" s="106">
        <f t="shared" si="1"/>
        <v>1804.22</v>
      </c>
      <c r="H24" s="106">
        <f t="shared" si="13"/>
        <v>150.35</v>
      </c>
      <c r="I24" s="106">
        <f t="shared" si="2"/>
        <v>1623.8</v>
      </c>
      <c r="J24" s="106">
        <f t="shared" si="14"/>
        <v>135.32</v>
      </c>
      <c r="L24" s="20">
        <v>54.74</v>
      </c>
      <c r="M24" s="20">
        <v>22.55</v>
      </c>
      <c r="N24" s="20">
        <v>27.06</v>
      </c>
      <c r="O24" s="20">
        <f t="shared" si="15"/>
        <v>30.97</v>
      </c>
      <c r="P24" s="20">
        <f t="shared" si="16"/>
        <v>135.32</v>
      </c>
      <c r="Q24" s="20">
        <f t="shared" si="17"/>
        <v>135.32</v>
      </c>
      <c r="R24" s="20">
        <v>811.92</v>
      </c>
      <c r="S24" s="112">
        <f t="shared" si="18"/>
        <v>42381.2</v>
      </c>
      <c r="T24" s="106">
        <f t="shared" si="19"/>
        <v>2119.06</v>
      </c>
      <c r="U24" s="106">
        <f t="shared" si="20"/>
        <v>176.59</v>
      </c>
      <c r="V24" s="106">
        <f t="shared" si="21"/>
        <v>1907.15</v>
      </c>
      <c r="W24" s="112">
        <f t="shared" si="22"/>
        <v>158.93</v>
      </c>
      <c r="X24" s="130">
        <f t="shared" si="23"/>
        <v>23.61</v>
      </c>
      <c r="Y24" s="113">
        <f t="shared" si="24"/>
        <v>0.17</v>
      </c>
      <c r="Z24" s="20">
        <v>811.92</v>
      </c>
      <c r="AA24" s="109">
        <f t="shared" si="3"/>
        <v>953.58</v>
      </c>
      <c r="AB24" s="106">
        <f t="shared" si="4"/>
        <v>141.66</v>
      </c>
      <c r="AD24" s="104">
        <f t="shared" si="5"/>
        <v>54.74</v>
      </c>
      <c r="AE24" s="106">
        <f t="shared" si="6"/>
        <v>22.55</v>
      </c>
      <c r="AF24" s="106">
        <f t="shared" si="7"/>
        <v>23.61</v>
      </c>
      <c r="AG24" s="104">
        <f t="shared" si="8"/>
        <v>33.46</v>
      </c>
      <c r="AH24" s="21">
        <f t="shared" si="9"/>
        <v>38.270000000000003</v>
      </c>
      <c r="AI24" s="21">
        <f t="shared" si="10"/>
        <v>172.63</v>
      </c>
      <c r="AJ24" s="21">
        <f t="shared" si="11"/>
        <v>196.5</v>
      </c>
      <c r="AL24" s="105">
        <f t="shared" si="12"/>
        <v>200.76</v>
      </c>
    </row>
    <row r="25" spans="1:124" x14ac:dyDescent="0.2">
      <c r="A25" s="125">
        <v>7</v>
      </c>
      <c r="B25" s="99">
        <v>51.31</v>
      </c>
      <c r="C25" s="99">
        <v>869.51</v>
      </c>
      <c r="D25" s="20">
        <v>26768.86</v>
      </c>
      <c r="E25" s="20">
        <v>17845.45</v>
      </c>
      <c r="F25" s="106">
        <f t="shared" si="0"/>
        <v>44614.31</v>
      </c>
      <c r="G25" s="106">
        <f t="shared" si="1"/>
        <v>2230.7199999999998</v>
      </c>
      <c r="H25" s="106">
        <f t="shared" si="13"/>
        <v>185.89</v>
      </c>
      <c r="I25" s="106">
        <f t="shared" si="2"/>
        <v>2007.64</v>
      </c>
      <c r="J25" s="106">
        <f t="shared" si="14"/>
        <v>167.3</v>
      </c>
      <c r="L25" s="20">
        <v>67.69</v>
      </c>
      <c r="M25" s="20">
        <v>27.88</v>
      </c>
      <c r="N25" s="20">
        <v>33.46</v>
      </c>
      <c r="O25" s="20">
        <f t="shared" si="15"/>
        <v>38.270000000000003</v>
      </c>
      <c r="P25" s="20">
        <f t="shared" si="16"/>
        <v>167.3</v>
      </c>
      <c r="Q25" s="20">
        <f t="shared" si="17"/>
        <v>167.3</v>
      </c>
      <c r="R25" s="20">
        <v>1003.8</v>
      </c>
      <c r="S25" s="112">
        <f t="shared" si="18"/>
        <v>52399.51</v>
      </c>
      <c r="T25" s="106">
        <f t="shared" si="19"/>
        <v>2619.98</v>
      </c>
      <c r="U25" s="106">
        <f t="shared" si="20"/>
        <v>218.33</v>
      </c>
      <c r="V25" s="106">
        <f t="shared" si="21"/>
        <v>2357.98</v>
      </c>
      <c r="W25" s="112">
        <f t="shared" si="22"/>
        <v>196.5</v>
      </c>
      <c r="X25" s="130">
        <f t="shared" si="23"/>
        <v>29.2</v>
      </c>
      <c r="Y25" s="113">
        <f t="shared" si="24"/>
        <v>0.17</v>
      </c>
      <c r="Z25" s="20">
        <v>1003.8</v>
      </c>
      <c r="AA25" s="109">
        <f t="shared" si="3"/>
        <v>1179</v>
      </c>
      <c r="AB25" s="106">
        <f t="shared" si="4"/>
        <v>175.2</v>
      </c>
      <c r="AD25" s="104">
        <f t="shared" si="5"/>
        <v>67.69</v>
      </c>
      <c r="AE25" s="106">
        <f t="shared" si="6"/>
        <v>27.88</v>
      </c>
      <c r="AF25" s="106">
        <f t="shared" si="7"/>
        <v>29.2</v>
      </c>
      <c r="AG25" s="104">
        <f t="shared" si="8"/>
        <v>43.48</v>
      </c>
      <c r="AH25" s="21">
        <f t="shared" si="9"/>
        <v>49.74</v>
      </c>
      <c r="AI25" s="21">
        <f t="shared" si="10"/>
        <v>217.99</v>
      </c>
      <c r="AJ25" s="21">
        <f t="shared" si="11"/>
        <v>255.36</v>
      </c>
      <c r="AL25" s="105">
        <f t="shared" si="12"/>
        <v>260.89999999999998</v>
      </c>
    </row>
    <row r="26" spans="1:124" x14ac:dyDescent="0.2">
      <c r="A26" s="125">
        <v>8</v>
      </c>
      <c r="B26" s="99">
        <v>66.680000000000007</v>
      </c>
      <c r="C26" s="99">
        <v>869.51</v>
      </c>
      <c r="D26" s="20">
        <v>34787.519999999997</v>
      </c>
      <c r="E26" s="20">
        <v>23191.09</v>
      </c>
      <c r="F26" s="106">
        <f t="shared" si="0"/>
        <v>57978.61</v>
      </c>
      <c r="G26" s="106">
        <f t="shared" si="1"/>
        <v>2898.93</v>
      </c>
      <c r="H26" s="106">
        <f t="shared" si="13"/>
        <v>241.58</v>
      </c>
      <c r="I26" s="106">
        <f t="shared" si="2"/>
        <v>2609.04</v>
      </c>
      <c r="J26" s="106">
        <f t="shared" si="14"/>
        <v>217.42</v>
      </c>
      <c r="L26" s="20">
        <v>87.96</v>
      </c>
      <c r="M26" s="20">
        <v>36.24</v>
      </c>
      <c r="N26" s="20">
        <v>43.48</v>
      </c>
      <c r="O26" s="20">
        <f t="shared" si="15"/>
        <v>49.74</v>
      </c>
      <c r="P26" s="20">
        <f t="shared" si="16"/>
        <v>217.42</v>
      </c>
      <c r="Q26" s="20">
        <f t="shared" si="17"/>
        <v>217.42</v>
      </c>
      <c r="R26" s="20">
        <v>1304.52</v>
      </c>
      <c r="S26" s="112">
        <f t="shared" si="18"/>
        <v>68095.88</v>
      </c>
      <c r="T26" s="106">
        <f t="shared" si="19"/>
        <v>3404.79</v>
      </c>
      <c r="U26" s="106">
        <f t="shared" si="20"/>
        <v>283.73</v>
      </c>
      <c r="V26" s="106">
        <f t="shared" si="21"/>
        <v>3064.31</v>
      </c>
      <c r="W26" s="112">
        <f t="shared" si="22"/>
        <v>255.36</v>
      </c>
      <c r="X26" s="130">
        <f t="shared" si="23"/>
        <v>37.94</v>
      </c>
      <c r="Y26" s="113">
        <f t="shared" si="24"/>
        <v>0.17</v>
      </c>
      <c r="Z26" s="20">
        <v>1304.52</v>
      </c>
      <c r="AA26" s="109">
        <f t="shared" si="3"/>
        <v>1532.16</v>
      </c>
      <c r="AB26" s="106">
        <f t="shared" si="4"/>
        <v>227.64</v>
      </c>
      <c r="AD26" s="104">
        <f t="shared" si="5"/>
        <v>87.96</v>
      </c>
      <c r="AE26" s="106">
        <f t="shared" si="6"/>
        <v>36.24</v>
      </c>
      <c r="AF26" s="106">
        <f t="shared" si="7"/>
        <v>37.94</v>
      </c>
      <c r="AG26" s="104">
        <f t="shared" si="8"/>
        <v>26.88</v>
      </c>
      <c r="AH26" s="21">
        <f t="shared" si="9"/>
        <v>30.74</v>
      </c>
      <c r="AI26" s="21">
        <f t="shared" si="10"/>
        <v>219.76</v>
      </c>
      <c r="AJ26" s="21">
        <f t="shared" si="11"/>
        <v>157.86000000000001</v>
      </c>
      <c r="AL26" s="105">
        <f t="shared" si="12"/>
        <v>161.28</v>
      </c>
    </row>
    <row r="27" spans="1:124" x14ac:dyDescent="0.2">
      <c r="A27" s="125">
        <v>9</v>
      </c>
      <c r="B27" s="99">
        <v>41.22</v>
      </c>
      <c r="C27" s="99">
        <v>869.51</v>
      </c>
      <c r="D27" s="20">
        <v>21504.82</v>
      </c>
      <c r="E27" s="20">
        <v>14336.18</v>
      </c>
      <c r="F27" s="106">
        <f t="shared" si="0"/>
        <v>35841</v>
      </c>
      <c r="G27" s="106">
        <f t="shared" si="1"/>
        <v>1792.05</v>
      </c>
      <c r="H27" s="106">
        <f t="shared" si="13"/>
        <v>149.34</v>
      </c>
      <c r="I27" s="106">
        <f t="shared" si="2"/>
        <v>1612.85</v>
      </c>
      <c r="J27" s="106">
        <f t="shared" si="14"/>
        <v>134.4</v>
      </c>
      <c r="L27" s="20">
        <v>54.38</v>
      </c>
      <c r="M27" s="20">
        <v>22.4</v>
      </c>
      <c r="N27" s="20">
        <v>26.88</v>
      </c>
      <c r="O27" s="20">
        <f t="shared" si="15"/>
        <v>30.74</v>
      </c>
      <c r="P27" s="20">
        <f t="shared" si="16"/>
        <v>134.4</v>
      </c>
      <c r="Q27" s="20">
        <f t="shared" si="17"/>
        <v>134.4</v>
      </c>
      <c r="R27" s="20">
        <v>806.4</v>
      </c>
      <c r="S27" s="112">
        <f t="shared" si="18"/>
        <v>42095.25</v>
      </c>
      <c r="T27" s="106">
        <f t="shared" si="19"/>
        <v>2104.7600000000002</v>
      </c>
      <c r="U27" s="106">
        <f t="shared" si="20"/>
        <v>175.4</v>
      </c>
      <c r="V27" s="106">
        <f t="shared" si="21"/>
        <v>1894.29</v>
      </c>
      <c r="W27" s="112">
        <f t="shared" si="22"/>
        <v>157.86000000000001</v>
      </c>
      <c r="X27" s="130">
        <f t="shared" si="23"/>
        <v>23.46</v>
      </c>
      <c r="Y27" s="113">
        <f t="shared" si="24"/>
        <v>0.17</v>
      </c>
      <c r="Z27" s="20">
        <v>806.4</v>
      </c>
      <c r="AA27" s="109">
        <f t="shared" si="3"/>
        <v>947.16</v>
      </c>
      <c r="AB27" s="106">
        <f t="shared" si="4"/>
        <v>140.76</v>
      </c>
      <c r="AD27" s="104">
        <f t="shared" si="5"/>
        <v>54.38</v>
      </c>
      <c r="AE27" s="106">
        <f t="shared" si="6"/>
        <v>22.4</v>
      </c>
      <c r="AF27" s="106">
        <f t="shared" si="7"/>
        <v>23.46</v>
      </c>
      <c r="AG27" s="104">
        <f t="shared" si="8"/>
        <v>33.46</v>
      </c>
      <c r="AH27" s="21">
        <f t="shared" si="9"/>
        <v>38.270000000000003</v>
      </c>
      <c r="AI27" s="21">
        <f t="shared" si="10"/>
        <v>171.97</v>
      </c>
      <c r="AJ27" s="21">
        <f t="shared" si="11"/>
        <v>196.5</v>
      </c>
      <c r="AL27" s="105">
        <f t="shared" si="12"/>
        <v>200.76</v>
      </c>
    </row>
    <row r="28" spans="1:124" x14ac:dyDescent="0.2">
      <c r="A28" s="125">
        <v>10</v>
      </c>
      <c r="B28" s="99">
        <v>51.31</v>
      </c>
      <c r="C28" s="99">
        <v>869.51</v>
      </c>
      <c r="D28" s="20">
        <v>26768.86</v>
      </c>
      <c r="E28" s="20">
        <v>17845.45</v>
      </c>
      <c r="F28" s="106">
        <f t="shared" si="0"/>
        <v>44614.31</v>
      </c>
      <c r="G28" s="106">
        <f t="shared" si="1"/>
        <v>2230.7199999999998</v>
      </c>
      <c r="H28" s="106">
        <f t="shared" si="13"/>
        <v>185.89</v>
      </c>
      <c r="I28" s="106">
        <f t="shared" si="2"/>
        <v>2007.64</v>
      </c>
      <c r="J28" s="106">
        <f t="shared" si="14"/>
        <v>167.3</v>
      </c>
      <c r="L28" s="20">
        <v>67.69</v>
      </c>
      <c r="M28" s="20">
        <v>27.88</v>
      </c>
      <c r="N28" s="20">
        <v>33.46</v>
      </c>
      <c r="O28" s="20">
        <f t="shared" si="15"/>
        <v>38.270000000000003</v>
      </c>
      <c r="P28" s="20">
        <f t="shared" si="16"/>
        <v>167.3</v>
      </c>
      <c r="Q28" s="20">
        <f t="shared" si="17"/>
        <v>167.3</v>
      </c>
      <c r="R28" s="20">
        <v>1003.8</v>
      </c>
      <c r="S28" s="112">
        <f t="shared" si="18"/>
        <v>52399.51</v>
      </c>
      <c r="T28" s="106">
        <f t="shared" si="19"/>
        <v>2619.98</v>
      </c>
      <c r="U28" s="106">
        <f t="shared" si="20"/>
        <v>218.33</v>
      </c>
      <c r="V28" s="106">
        <f t="shared" si="21"/>
        <v>2357.98</v>
      </c>
      <c r="W28" s="112">
        <f t="shared" si="22"/>
        <v>196.5</v>
      </c>
      <c r="X28" s="130">
        <f t="shared" si="23"/>
        <v>29.2</v>
      </c>
      <c r="Y28" s="113">
        <f t="shared" si="24"/>
        <v>0.17</v>
      </c>
      <c r="Z28" s="20">
        <v>1003.8</v>
      </c>
      <c r="AA28" s="109">
        <f t="shared" si="3"/>
        <v>1179</v>
      </c>
      <c r="AB28" s="106">
        <f t="shared" si="4"/>
        <v>175.2</v>
      </c>
      <c r="AD28" s="104">
        <f t="shared" si="5"/>
        <v>67.69</v>
      </c>
      <c r="AE28" s="106">
        <f t="shared" si="6"/>
        <v>27.88</v>
      </c>
      <c r="AF28" s="106">
        <f t="shared" si="7"/>
        <v>29.2</v>
      </c>
      <c r="AG28" s="104">
        <f t="shared" si="8"/>
        <v>43.48</v>
      </c>
      <c r="AH28" s="21">
        <f t="shared" si="9"/>
        <v>49.74</v>
      </c>
      <c r="AI28" s="21">
        <f t="shared" si="10"/>
        <v>217.99</v>
      </c>
      <c r="AJ28" s="21">
        <f t="shared" si="11"/>
        <v>255.36</v>
      </c>
      <c r="AL28" s="105">
        <f t="shared" si="12"/>
        <v>260.89999999999998</v>
      </c>
    </row>
    <row r="29" spans="1:124" x14ac:dyDescent="0.2">
      <c r="A29" s="125">
        <v>11</v>
      </c>
      <c r="B29" s="99">
        <v>66.680000000000007</v>
      </c>
      <c r="C29" s="99">
        <v>869.51</v>
      </c>
      <c r="D29" s="20">
        <v>34787.519999999997</v>
      </c>
      <c r="E29" s="20">
        <v>23191.09</v>
      </c>
      <c r="F29" s="106">
        <f t="shared" si="0"/>
        <v>57978.61</v>
      </c>
      <c r="G29" s="106">
        <f t="shared" si="1"/>
        <v>2898.93</v>
      </c>
      <c r="H29" s="106">
        <f t="shared" si="13"/>
        <v>241.58</v>
      </c>
      <c r="I29" s="106">
        <f t="shared" si="2"/>
        <v>2609.04</v>
      </c>
      <c r="J29" s="106">
        <f t="shared" si="14"/>
        <v>217.42</v>
      </c>
      <c r="L29" s="20">
        <v>87.96</v>
      </c>
      <c r="M29" s="20">
        <v>36.24</v>
      </c>
      <c r="N29" s="20">
        <v>43.48</v>
      </c>
      <c r="O29" s="20">
        <f t="shared" si="15"/>
        <v>49.74</v>
      </c>
      <c r="P29" s="20">
        <f t="shared" si="16"/>
        <v>217.42</v>
      </c>
      <c r="Q29" s="20">
        <f t="shared" si="17"/>
        <v>217.42</v>
      </c>
      <c r="R29" s="20">
        <v>1304.52</v>
      </c>
      <c r="S29" s="112">
        <f t="shared" si="18"/>
        <v>68095.88</v>
      </c>
      <c r="T29" s="106">
        <f t="shared" si="19"/>
        <v>3404.79</v>
      </c>
      <c r="U29" s="106">
        <f t="shared" si="20"/>
        <v>283.73</v>
      </c>
      <c r="V29" s="106">
        <f t="shared" si="21"/>
        <v>3064.31</v>
      </c>
      <c r="W29" s="112">
        <f t="shared" si="22"/>
        <v>255.36</v>
      </c>
      <c r="X29" s="130">
        <f t="shared" si="23"/>
        <v>37.94</v>
      </c>
      <c r="Y29" s="113">
        <f t="shared" si="24"/>
        <v>0.17</v>
      </c>
      <c r="Z29" s="20">
        <v>1304.52</v>
      </c>
      <c r="AA29" s="109">
        <f t="shared" si="3"/>
        <v>1532.16</v>
      </c>
      <c r="AB29" s="106">
        <f t="shared" si="4"/>
        <v>227.64</v>
      </c>
      <c r="AD29" s="104">
        <f t="shared" si="5"/>
        <v>87.96</v>
      </c>
      <c r="AE29" s="106">
        <f t="shared" si="6"/>
        <v>36.24</v>
      </c>
      <c r="AF29" s="106">
        <f t="shared" si="7"/>
        <v>37.94</v>
      </c>
      <c r="AG29" s="104">
        <f t="shared" si="8"/>
        <v>26.88</v>
      </c>
      <c r="AH29" s="21">
        <f t="shared" si="9"/>
        <v>30.74</v>
      </c>
      <c r="AI29" s="21">
        <f>SUM(AD29:AH29)</f>
        <v>219.76</v>
      </c>
      <c r="AJ29" s="21">
        <f t="shared" si="11"/>
        <v>157.86000000000001</v>
      </c>
      <c r="AL29" s="105">
        <f t="shared" si="12"/>
        <v>161.28</v>
      </c>
    </row>
    <row r="30" spans="1:124" s="107" customFormat="1" x14ac:dyDescent="0.2">
      <c r="A30" s="125">
        <v>12</v>
      </c>
      <c r="B30" s="99">
        <v>41.22</v>
      </c>
      <c r="C30" s="99">
        <v>869.51</v>
      </c>
      <c r="D30" s="20">
        <v>21504.82</v>
      </c>
      <c r="E30" s="20">
        <v>14336.18</v>
      </c>
      <c r="F30" s="106">
        <f t="shared" si="0"/>
        <v>35841</v>
      </c>
      <c r="G30" s="106">
        <f t="shared" si="1"/>
        <v>1792.05</v>
      </c>
      <c r="H30" s="106">
        <f t="shared" si="13"/>
        <v>149.34</v>
      </c>
      <c r="I30" s="106">
        <f t="shared" si="2"/>
        <v>1612.85</v>
      </c>
      <c r="J30" s="106">
        <f t="shared" si="14"/>
        <v>134.4</v>
      </c>
      <c r="K30" s="20"/>
      <c r="L30" s="20">
        <v>54.38</v>
      </c>
      <c r="M30" s="20">
        <v>22.4</v>
      </c>
      <c r="N30" s="20">
        <v>26.88</v>
      </c>
      <c r="O30" s="20">
        <f t="shared" si="15"/>
        <v>30.74</v>
      </c>
      <c r="P30" s="20">
        <f t="shared" si="16"/>
        <v>134.4</v>
      </c>
      <c r="Q30" s="20">
        <f t="shared" si="17"/>
        <v>134.4</v>
      </c>
      <c r="R30" s="20">
        <v>806.4</v>
      </c>
      <c r="S30" s="112">
        <f t="shared" si="18"/>
        <v>42095.25</v>
      </c>
      <c r="T30" s="106">
        <f t="shared" si="19"/>
        <v>2104.7600000000002</v>
      </c>
      <c r="U30" s="106">
        <f t="shared" si="20"/>
        <v>175.4</v>
      </c>
      <c r="V30" s="106">
        <f t="shared" si="21"/>
        <v>1894.29</v>
      </c>
      <c r="W30" s="112">
        <f t="shared" si="22"/>
        <v>157.86000000000001</v>
      </c>
      <c r="X30" s="130">
        <f t="shared" si="23"/>
        <v>23.46</v>
      </c>
      <c r="Y30" s="113">
        <f t="shared" si="24"/>
        <v>0.17</v>
      </c>
      <c r="Z30" s="20">
        <v>806.4</v>
      </c>
      <c r="AA30" s="109">
        <f t="shared" si="3"/>
        <v>947.16</v>
      </c>
      <c r="AB30" s="106">
        <f t="shared" si="4"/>
        <v>140.76</v>
      </c>
      <c r="AC30" s="20"/>
      <c r="AD30" s="104">
        <f t="shared" si="5"/>
        <v>54.38</v>
      </c>
      <c r="AE30" s="106">
        <f t="shared" si="6"/>
        <v>22.4</v>
      </c>
      <c r="AF30" s="106">
        <f t="shared" si="7"/>
        <v>23.46</v>
      </c>
      <c r="AG30" s="21">
        <f>SUM(AG7:AG29)</f>
        <v>749.92</v>
      </c>
      <c r="AH30" s="21">
        <f>SUM(AH7:AH29)</f>
        <v>857.77</v>
      </c>
      <c r="AI30" s="21" t="e">
        <f>#REF!+AI7+AI8+AI9+AI10+AI11+AI12+AI13+AI14+AI15+AI16+AI17+AI18+AI19+AI20+AI21+AI22+AI23+AI24+AI25+AI26+AI27+AI28+AI29</f>
        <v>#REF!</v>
      </c>
      <c r="AJ30" s="103" t="e">
        <f>#REF!+AJ7+AJ8+AJ9+AJ10+AJ11+AJ12+AJ13+AJ14+AJ15+AJ16+AJ17+AJ18+AJ19+AJ20+AJ21+AJ22+AJ23+AJ24+AJ25+AJ26+AJ27+AJ28+AJ29</f>
        <v>#REF!</v>
      </c>
      <c r="AK30" s="100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</row>
    <row r="31" spans="1:124" s="100" customFormat="1" hidden="1" x14ac:dyDescent="0.2">
      <c r="A31" s="126" t="s">
        <v>244</v>
      </c>
      <c r="B31" s="99">
        <f>SUM(B7:B30)</f>
        <v>1199.1199999999999</v>
      </c>
      <c r="C31" s="114">
        <f>F31/B31</f>
        <v>869.51</v>
      </c>
      <c r="D31" s="20">
        <f>SUM(D7:D30)</f>
        <v>625591</v>
      </c>
      <c r="E31" s="20">
        <f>SUM(E7:E30)</f>
        <v>417050</v>
      </c>
      <c r="F31" s="106">
        <f>SUM(F7:F30)</f>
        <v>1042641</v>
      </c>
      <c r="G31" s="106">
        <f>F31*5%</f>
        <v>52132.05</v>
      </c>
      <c r="H31" s="106">
        <f>G31*5%</f>
        <v>2606.6</v>
      </c>
      <c r="I31" s="106">
        <f>F31*4.5%</f>
        <v>46918.85</v>
      </c>
      <c r="J31" s="112">
        <f>SUM(J7:J30)</f>
        <v>3909.88</v>
      </c>
      <c r="K31" s="20">
        <v>18981.84</v>
      </c>
      <c r="L31" s="20">
        <f>SUM(L7:L30)</f>
        <v>1581.86</v>
      </c>
      <c r="M31" s="20">
        <f t="shared" ref="M31:O31" si="25">SUM(M7:M30)</f>
        <v>651.64</v>
      </c>
      <c r="N31" s="20">
        <f t="shared" si="25"/>
        <v>781.96</v>
      </c>
      <c r="O31" s="20">
        <f t="shared" si="25"/>
        <v>894.42</v>
      </c>
      <c r="P31" s="20">
        <f>SUM(L31:O31)</f>
        <v>3909.88</v>
      </c>
      <c r="Q31" s="20">
        <f>SUM(Q7:Q30)</f>
        <v>3909.88</v>
      </c>
      <c r="R31" s="112">
        <f>SUM(R7:R30)</f>
        <v>23459.279999999999</v>
      </c>
      <c r="S31" s="106">
        <f>SUM(S7:S30)</f>
        <v>1224581.8799999999</v>
      </c>
      <c r="T31" s="106"/>
      <c r="U31" s="106"/>
      <c r="V31" s="106"/>
      <c r="W31" s="112">
        <f>SUM(W7:W30)</f>
        <v>4592.2</v>
      </c>
      <c r="X31" s="112"/>
      <c r="Y31" s="112"/>
      <c r="Z31" s="112">
        <f>SUM(Z7:Z30)</f>
        <v>23459.279999999999</v>
      </c>
      <c r="AA31" s="112">
        <f>SUM(AA7:AA30)</f>
        <v>27553.200000000001</v>
      </c>
      <c r="AB31" s="112">
        <f>SUM(AB7:AB30)</f>
        <v>4093.92</v>
      </c>
      <c r="AC31" s="106">
        <v>18981.84</v>
      </c>
      <c r="AD31" s="106">
        <f>SUM(AD7:AD30)</f>
        <v>1581.86</v>
      </c>
      <c r="AE31" s="106">
        <f>SUM(AE7:AE30)</f>
        <v>651.64</v>
      </c>
      <c r="AF31" s="112">
        <f>SUM(AF7:AF30)</f>
        <v>682.32</v>
      </c>
      <c r="AG31" s="20"/>
      <c r="AH31" s="20"/>
      <c r="AI31" s="20"/>
      <c r="AJ31" s="20"/>
    </row>
    <row r="32" spans="1:124" s="100" customFormat="1" hidden="1" x14ac:dyDescent="0.2">
      <c r="A32" s="127"/>
      <c r="B32" s="99"/>
      <c r="C32" s="9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109"/>
      <c r="X32" s="20"/>
      <c r="Y32" s="20"/>
      <c r="Z32" s="20"/>
      <c r="AA32" s="109"/>
      <c r="AB32" s="109"/>
      <c r="AC32" s="20"/>
      <c r="AD32" s="20"/>
      <c r="AE32" s="20"/>
      <c r="AF32" s="20">
        <f>AF31*12</f>
        <v>8187.84</v>
      </c>
      <c r="AG32" s="20"/>
      <c r="AH32" s="20"/>
      <c r="AI32" s="20"/>
      <c r="AJ32" s="20"/>
    </row>
    <row r="33" spans="1:37" s="100" customFormat="1" ht="25.5" hidden="1" customHeight="1" x14ac:dyDescent="0.2">
      <c r="A33" s="127"/>
      <c r="B33" s="99" t="s">
        <v>245</v>
      </c>
      <c r="C33" s="99"/>
      <c r="D33" s="20"/>
      <c r="E33" s="20"/>
      <c r="F33" s="99"/>
      <c r="G33" s="99"/>
      <c r="H33" s="20"/>
      <c r="I33" s="20" t="s">
        <v>246</v>
      </c>
      <c r="J33" s="99"/>
      <c r="K33" s="20"/>
      <c r="L33" s="20"/>
      <c r="M33" s="20"/>
      <c r="N33" s="20"/>
      <c r="O33" s="20"/>
      <c r="P33" s="20"/>
      <c r="Q33" s="20"/>
      <c r="R33" s="20"/>
      <c r="S33" s="99"/>
      <c r="T33" s="99"/>
      <c r="U33" s="20"/>
      <c r="V33" s="20" t="s">
        <v>246</v>
      </c>
      <c r="W33" s="97"/>
      <c r="X33" s="99"/>
      <c r="Y33" s="99"/>
      <c r="Z33" s="99"/>
      <c r="AA33" s="97"/>
      <c r="AB33" s="97"/>
      <c r="AC33" s="20"/>
      <c r="AD33" s="20"/>
      <c r="AE33" s="20"/>
      <c r="AF33" s="20"/>
      <c r="AG33" s="108" t="s">
        <v>249</v>
      </c>
      <c r="AH33" s="108" t="s">
        <v>250</v>
      </c>
      <c r="AI33" s="108"/>
      <c r="AJ33" s="108"/>
    </row>
    <row r="34" spans="1:37" s="100" customFormat="1" ht="25.5" hidden="1" x14ac:dyDescent="0.2">
      <c r="A34" s="127"/>
      <c r="B34" s="99"/>
      <c r="C34" s="99"/>
      <c r="D34" s="20"/>
      <c r="E34" s="20"/>
      <c r="F34" s="20"/>
      <c r="G34" s="99"/>
      <c r="H34" s="20"/>
      <c r="I34" s="20"/>
      <c r="J34" s="99"/>
      <c r="K34" s="20"/>
      <c r="L34" s="108" t="s">
        <v>247</v>
      </c>
      <c r="M34" s="108" t="s">
        <v>248</v>
      </c>
      <c r="N34" s="108" t="s">
        <v>249</v>
      </c>
      <c r="O34" s="108" t="s">
        <v>250</v>
      </c>
      <c r="P34" s="108"/>
      <c r="Q34" s="108"/>
      <c r="R34" s="108"/>
      <c r="S34" s="20"/>
      <c r="T34" s="99"/>
      <c r="U34" s="20"/>
      <c r="V34" s="20"/>
      <c r="W34" s="97"/>
      <c r="X34" s="99"/>
      <c r="Y34" s="99"/>
      <c r="Z34" s="99"/>
      <c r="AA34" s="97"/>
      <c r="AB34" s="97"/>
      <c r="AC34" s="20"/>
      <c r="AD34" s="108" t="s">
        <v>247</v>
      </c>
      <c r="AE34" s="108" t="s">
        <v>248</v>
      </c>
      <c r="AF34" s="123" t="s">
        <v>263</v>
      </c>
      <c r="AG34" s="20"/>
      <c r="AH34" s="20"/>
      <c r="AI34" s="20"/>
      <c r="AJ34" s="20"/>
    </row>
    <row r="35" spans="1:37" s="100" customFormat="1" hidden="1" x14ac:dyDescent="0.2">
      <c r="A35" s="127"/>
      <c r="B35" s="99"/>
      <c r="C35" s="99"/>
      <c r="D35" s="20"/>
      <c r="E35" s="20"/>
      <c r="F35" s="20"/>
      <c r="G35" s="99"/>
      <c r="H35" s="20"/>
      <c r="I35" s="20"/>
      <c r="J35" s="99"/>
      <c r="K35" s="20"/>
      <c r="L35" s="20"/>
      <c r="M35" s="20"/>
      <c r="N35" s="20"/>
      <c r="O35" s="20"/>
      <c r="P35" s="20"/>
      <c r="Q35" s="20"/>
      <c r="R35" s="20"/>
      <c r="S35" s="20"/>
      <c r="T35" s="99"/>
      <c r="U35" s="20"/>
      <c r="V35" s="20"/>
      <c r="W35" s="97"/>
      <c r="X35" s="99"/>
      <c r="Y35" s="99"/>
      <c r="Z35" s="99"/>
      <c r="AA35" s="97"/>
      <c r="AB35" s="97"/>
      <c r="AC35" s="20"/>
      <c r="AD35" s="20"/>
      <c r="AE35" s="20"/>
      <c r="AF35" s="20"/>
      <c r="AG35" s="20"/>
      <c r="AH35" s="20"/>
      <c r="AI35" s="20"/>
      <c r="AJ35" s="20"/>
    </row>
    <row r="36" spans="1:37" s="100" customFormat="1" hidden="1" x14ac:dyDescent="0.2">
      <c r="A36" s="127"/>
      <c r="B36" s="99"/>
      <c r="C36" s="99"/>
      <c r="D36" s="20"/>
      <c r="E36" s="20"/>
      <c r="F36" s="20"/>
      <c r="G36" s="99"/>
      <c r="H36" s="20"/>
      <c r="I36" s="20"/>
      <c r="J36" s="99"/>
      <c r="K36" s="20"/>
      <c r="L36" s="20"/>
      <c r="M36" s="20"/>
      <c r="N36" s="20"/>
      <c r="O36" s="20"/>
      <c r="P36" s="20"/>
      <c r="Q36" s="20"/>
      <c r="R36" s="20"/>
      <c r="S36" s="20"/>
      <c r="T36" s="99"/>
      <c r="U36" s="20"/>
      <c r="V36" s="20"/>
      <c r="W36" s="97"/>
      <c r="X36" s="99"/>
      <c r="Y36" s="99"/>
      <c r="Z36" s="99"/>
      <c r="AA36" s="97"/>
      <c r="AB36" s="97"/>
      <c r="AC36" s="20"/>
      <c r="AD36" s="20"/>
      <c r="AE36" s="20"/>
      <c r="AF36" s="20"/>
      <c r="AG36" s="20"/>
      <c r="AH36" s="20"/>
      <c r="AI36" s="20"/>
      <c r="AJ36" s="20"/>
    </row>
    <row r="37" spans="1:37" s="100" customFormat="1" hidden="1" x14ac:dyDescent="0.2">
      <c r="A37" s="127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7"/>
      <c r="X37" s="99"/>
      <c r="Y37" s="99"/>
      <c r="Z37" s="99"/>
      <c r="AA37" s="97"/>
      <c r="AB37" s="97"/>
      <c r="AC37" s="20"/>
      <c r="AD37" s="20"/>
      <c r="AE37" s="20"/>
      <c r="AF37" s="20"/>
      <c r="AG37" s="20"/>
      <c r="AH37" s="20"/>
      <c r="AI37" s="20"/>
      <c r="AJ37" s="20"/>
    </row>
    <row r="38" spans="1:37" s="100" customFormat="1" hidden="1" x14ac:dyDescent="0.2">
      <c r="A38" s="127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7"/>
      <c r="X38" s="99"/>
      <c r="Y38" s="99"/>
      <c r="Z38" s="99"/>
      <c r="AA38" s="97"/>
      <c r="AB38" s="97"/>
      <c r="AC38" s="20"/>
      <c r="AD38" s="20"/>
      <c r="AE38" s="20"/>
      <c r="AF38" s="20"/>
      <c r="AG38" s="20"/>
      <c r="AH38" s="20"/>
      <c r="AI38" s="20"/>
      <c r="AJ38" s="20"/>
    </row>
    <row r="39" spans="1:37" s="100" customFormat="1" hidden="1" x14ac:dyDescent="0.2">
      <c r="A39" s="127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7"/>
      <c r="X39" s="99"/>
      <c r="Y39" s="99"/>
      <c r="Z39" s="99"/>
      <c r="AA39" s="97"/>
      <c r="AB39" s="97"/>
      <c r="AC39" s="20"/>
      <c r="AD39" s="20"/>
      <c r="AE39" s="20"/>
      <c r="AF39" s="20"/>
      <c r="AG39" s="20"/>
      <c r="AH39" s="20"/>
      <c r="AI39" s="20"/>
      <c r="AJ39" s="20"/>
    </row>
    <row r="40" spans="1:37" s="100" customFormat="1" hidden="1" x14ac:dyDescent="0.2">
      <c r="A40" s="127"/>
      <c r="B40" s="99"/>
      <c r="C40" s="9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109"/>
      <c r="X40" s="20"/>
      <c r="Y40" s="20"/>
      <c r="Z40" s="20"/>
      <c r="AA40" s="109"/>
      <c r="AB40" s="109"/>
      <c r="AC40" s="20"/>
      <c r="AD40" s="20"/>
      <c r="AE40" s="20"/>
      <c r="AF40" s="20"/>
      <c r="AG40" s="20"/>
      <c r="AH40" s="20"/>
      <c r="AI40" s="20"/>
      <c r="AJ40" s="20"/>
    </row>
    <row r="41" spans="1:37" s="100" customFormat="1" hidden="1" x14ac:dyDescent="0.2">
      <c r="A41" s="127"/>
      <c r="B41" s="115" t="s">
        <v>251</v>
      </c>
      <c r="C41" s="99"/>
      <c r="D41" s="116" t="s">
        <v>252</v>
      </c>
      <c r="E41" s="116" t="s">
        <v>253</v>
      </c>
      <c r="F41" s="20"/>
      <c r="G41" s="99"/>
      <c r="H41" s="20"/>
      <c r="I41" s="20"/>
      <c r="J41" s="99"/>
      <c r="K41" s="20"/>
      <c r="L41" s="20"/>
      <c r="M41" s="20"/>
      <c r="N41" s="20"/>
      <c r="O41" s="20"/>
      <c r="P41" s="20"/>
      <c r="Q41" s="20"/>
      <c r="R41" s="20"/>
      <c r="S41" s="20"/>
      <c r="T41" s="99"/>
      <c r="U41" s="20"/>
      <c r="V41" s="20" t="s">
        <v>254</v>
      </c>
      <c r="W41" s="97"/>
      <c r="X41" s="99"/>
      <c r="Y41" s="99"/>
      <c r="Z41" s="99"/>
      <c r="AA41" s="97"/>
      <c r="AB41" s="97"/>
      <c r="AC41" s="20"/>
      <c r="AD41" s="20"/>
      <c r="AE41" s="20"/>
      <c r="AF41" s="20"/>
      <c r="AG41" s="20"/>
      <c r="AH41" s="20"/>
      <c r="AI41" s="20"/>
      <c r="AJ41" s="20"/>
    </row>
    <row r="42" spans="1:37" s="100" customFormat="1" hidden="1" x14ac:dyDescent="0.2">
      <c r="A42" s="127"/>
      <c r="B42" s="99" t="s">
        <v>255</v>
      </c>
      <c r="C42" s="99"/>
      <c r="D42" s="20"/>
      <c r="E42" s="20"/>
      <c r="F42" s="20"/>
      <c r="G42" s="99"/>
      <c r="H42" s="20"/>
      <c r="I42" s="99"/>
      <c r="J42" s="99"/>
      <c r="K42" s="20"/>
      <c r="L42" s="20"/>
      <c r="M42" s="20"/>
      <c r="N42" s="20"/>
      <c r="O42" s="20"/>
      <c r="P42" s="20"/>
      <c r="Q42" s="20"/>
      <c r="R42" s="20"/>
      <c r="S42" s="20"/>
      <c r="T42" s="99"/>
      <c r="U42" s="20"/>
      <c r="V42" s="99" t="s">
        <v>256</v>
      </c>
      <c r="W42" s="97"/>
      <c r="X42" s="99"/>
      <c r="Y42" s="99"/>
      <c r="Z42" s="99"/>
      <c r="AA42" s="97"/>
      <c r="AB42" s="97"/>
      <c r="AC42" s="20"/>
      <c r="AD42" s="20"/>
      <c r="AE42" s="20"/>
      <c r="AF42" s="20"/>
      <c r="AG42" s="20"/>
      <c r="AH42" s="20"/>
      <c r="AI42" s="20"/>
      <c r="AJ42" s="20"/>
    </row>
    <row r="43" spans="1:37" s="100" customFormat="1" hidden="1" x14ac:dyDescent="0.2">
      <c r="A43" s="127"/>
      <c r="B43" s="99" t="s">
        <v>257</v>
      </c>
      <c r="C43" s="99"/>
      <c r="D43" s="20"/>
      <c r="E43" s="20"/>
      <c r="F43" s="20"/>
      <c r="G43" s="99"/>
      <c r="H43" s="20"/>
      <c r="I43" s="99"/>
      <c r="J43" s="99"/>
      <c r="K43" s="20"/>
      <c r="L43" s="20"/>
      <c r="M43" s="20"/>
      <c r="N43" s="20"/>
      <c r="O43" s="20"/>
      <c r="P43" s="20"/>
      <c r="Q43" s="20"/>
      <c r="R43" s="20"/>
      <c r="S43" s="20"/>
      <c r="T43" s="99"/>
      <c r="U43" s="20"/>
      <c r="V43" s="99" t="s">
        <v>258</v>
      </c>
      <c r="W43" s="97"/>
      <c r="X43" s="99"/>
      <c r="Y43" s="99"/>
      <c r="Z43" s="99"/>
      <c r="AA43" s="97"/>
      <c r="AB43" s="97"/>
      <c r="AC43" s="20"/>
      <c r="AD43" s="20"/>
      <c r="AE43" s="20"/>
      <c r="AF43" s="20"/>
      <c r="AG43" s="20"/>
      <c r="AH43" s="20"/>
      <c r="AI43" s="20"/>
      <c r="AJ43" s="20"/>
    </row>
    <row r="44" spans="1:37" s="100" customFormat="1" hidden="1" x14ac:dyDescent="0.2">
      <c r="A44" s="127"/>
      <c r="B44" s="99"/>
      <c r="C44" s="9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109"/>
      <c r="X44" s="20"/>
      <c r="Y44" s="20"/>
      <c r="Z44" s="20"/>
      <c r="AA44" s="109"/>
      <c r="AB44" s="109"/>
      <c r="AC44" s="20"/>
      <c r="AD44" s="20"/>
      <c r="AE44" s="20"/>
      <c r="AF44" s="20"/>
      <c r="AG44" s="20"/>
      <c r="AH44" s="20"/>
      <c r="AI44" s="20"/>
      <c r="AJ44" s="20"/>
    </row>
    <row r="45" spans="1:37" s="100" customFormat="1" hidden="1" x14ac:dyDescent="0.2">
      <c r="A45" s="127"/>
      <c r="B45" s="99"/>
      <c r="C45" s="9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109"/>
      <c r="X45" s="20"/>
      <c r="Y45" s="20"/>
      <c r="Z45" s="20"/>
      <c r="AA45" s="109"/>
      <c r="AB45" s="109"/>
      <c r="AC45" s="20"/>
      <c r="AD45" s="20"/>
      <c r="AE45" s="20"/>
      <c r="AF45" s="20"/>
      <c r="AG45" s="20"/>
      <c r="AH45" s="20"/>
      <c r="AI45" s="20"/>
      <c r="AJ45" s="20"/>
    </row>
    <row r="46" spans="1:37" s="100" customFormat="1" hidden="1" x14ac:dyDescent="0.2">
      <c r="A46" s="127"/>
      <c r="B46" s="99"/>
      <c r="C46" s="9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109"/>
      <c r="X46" s="20"/>
      <c r="Y46" s="20"/>
      <c r="Z46" s="20"/>
      <c r="AA46" s="109"/>
      <c r="AB46" s="109"/>
      <c r="AC46" s="20"/>
      <c r="AD46" s="20"/>
      <c r="AE46" s="20"/>
      <c r="AF46" s="20"/>
      <c r="AG46" s="20"/>
      <c r="AH46" s="20"/>
      <c r="AI46" s="20"/>
      <c r="AJ46" s="20"/>
    </row>
    <row r="47" spans="1:37" s="20" customFormat="1" hidden="1" x14ac:dyDescent="0.2">
      <c r="A47" s="127"/>
      <c r="B47" s="99"/>
      <c r="C47" s="99"/>
      <c r="W47" s="109"/>
      <c r="AA47" s="109"/>
      <c r="AB47" s="109"/>
      <c r="AK47" s="100"/>
    </row>
    <row r="48" spans="1:37" s="20" customFormat="1" ht="15" hidden="1" x14ac:dyDescent="0.2">
      <c r="A48" s="128"/>
      <c r="B48" t="s">
        <v>273</v>
      </c>
      <c r="C48" s="99"/>
      <c r="H48" s="22" t="s">
        <v>276</v>
      </c>
      <c r="W48" s="109"/>
      <c r="AA48" s="109"/>
      <c r="AB48" s="109"/>
      <c r="AK48" s="100"/>
    </row>
    <row r="49" spans="1:37" s="20" customFormat="1" hidden="1" x14ac:dyDescent="0.2">
      <c r="A49" s="128"/>
      <c r="B49" s="99"/>
      <c r="C49" s="99"/>
      <c r="W49" s="109"/>
      <c r="AA49" s="109"/>
      <c r="AB49" s="109"/>
      <c r="AK49" s="100"/>
    </row>
    <row r="50" spans="1:37" s="20" customFormat="1" hidden="1" x14ac:dyDescent="0.2">
      <c r="A50" s="128"/>
      <c r="B50" s="99"/>
      <c r="C50" s="99"/>
      <c r="W50" s="109"/>
      <c r="AA50" s="109"/>
      <c r="AB50" s="109"/>
      <c r="AK50" s="100"/>
    </row>
    <row r="51" spans="1:37" s="20" customFormat="1" hidden="1" x14ac:dyDescent="0.2">
      <c r="A51" s="128"/>
      <c r="B51" s="99"/>
      <c r="C51" s="99"/>
      <c r="W51" s="109"/>
      <c r="AA51" s="109"/>
      <c r="AB51" s="109"/>
      <c r="AK51" s="100"/>
    </row>
    <row r="52" spans="1:37" s="20" customFormat="1" hidden="1" x14ac:dyDescent="0.2">
      <c r="A52" s="128"/>
      <c r="B52" s="99"/>
      <c r="C52" s="99"/>
      <c r="W52" s="109"/>
      <c r="AA52" s="109"/>
      <c r="AB52" s="109"/>
      <c r="AK52" s="100"/>
    </row>
    <row r="53" spans="1:37" s="20" customFormat="1" hidden="1" x14ac:dyDescent="0.2">
      <c r="A53" s="128"/>
      <c r="B53" s="99"/>
      <c r="C53" s="99"/>
      <c r="W53" s="109"/>
      <c r="AA53" s="109"/>
      <c r="AB53" s="109"/>
      <c r="AK53" s="100"/>
    </row>
    <row r="54" spans="1:37" s="20" customFormat="1" hidden="1" x14ac:dyDescent="0.2">
      <c r="A54" s="128"/>
      <c r="B54" s="99"/>
      <c r="C54" s="99"/>
      <c r="W54" s="109"/>
      <c r="AA54" s="109"/>
      <c r="AB54" s="109"/>
      <c r="AK54" s="100"/>
    </row>
    <row r="55" spans="1:37" s="20" customFormat="1" hidden="1" x14ac:dyDescent="0.2">
      <c r="A55" s="128"/>
      <c r="B55" s="99"/>
      <c r="C55" s="99"/>
      <c r="W55" s="109"/>
      <c r="AA55" s="109"/>
      <c r="AB55" s="109"/>
      <c r="AK55" s="100"/>
    </row>
    <row r="56" spans="1:37" s="20" customFormat="1" hidden="1" x14ac:dyDescent="0.2">
      <c r="A56" s="128"/>
      <c r="B56" s="99"/>
      <c r="C56" s="99"/>
      <c r="W56" s="109"/>
      <c r="AA56" s="109"/>
      <c r="AB56" s="109"/>
      <c r="AK56" s="100"/>
    </row>
    <row r="57" spans="1:37" s="20" customFormat="1" hidden="1" x14ac:dyDescent="0.2">
      <c r="A57" s="128"/>
      <c r="B57" s="99"/>
      <c r="C57" s="99"/>
      <c r="W57" s="109"/>
      <c r="AA57" s="109"/>
      <c r="AB57" s="109"/>
      <c r="AK57" s="100"/>
    </row>
    <row r="58" spans="1:37" s="20" customFormat="1" hidden="1" x14ac:dyDescent="0.2">
      <c r="A58" s="128"/>
      <c r="B58" s="99"/>
      <c r="C58" s="99"/>
      <c r="W58" s="109"/>
      <c r="AA58" s="109"/>
      <c r="AB58" s="109"/>
      <c r="AK58" s="100"/>
    </row>
    <row r="59" spans="1:37" s="20" customFormat="1" hidden="1" x14ac:dyDescent="0.2">
      <c r="A59" s="128"/>
      <c r="B59" s="99"/>
      <c r="C59" s="99"/>
      <c r="W59" s="109"/>
      <c r="AA59" s="109"/>
      <c r="AB59" s="109"/>
      <c r="AK59" s="100"/>
    </row>
    <row r="60" spans="1:37" s="20" customFormat="1" hidden="1" x14ac:dyDescent="0.2">
      <c r="A60" s="128"/>
      <c r="B60" s="99"/>
      <c r="C60" s="99"/>
      <c r="W60" s="109"/>
      <c r="AA60" s="109"/>
      <c r="AB60" s="109"/>
      <c r="AK60" s="100"/>
    </row>
    <row r="61" spans="1:37" s="20" customFormat="1" hidden="1" x14ac:dyDescent="0.2">
      <c r="A61" s="128"/>
      <c r="B61" s="99"/>
      <c r="C61" s="99"/>
      <c r="W61" s="109"/>
      <c r="AA61" s="109"/>
      <c r="AB61" s="109"/>
      <c r="AK61" s="100"/>
    </row>
    <row r="62" spans="1:37" s="20" customFormat="1" hidden="1" x14ac:dyDescent="0.2">
      <c r="A62" s="128"/>
      <c r="B62" s="99"/>
      <c r="C62" s="99"/>
      <c r="W62" s="109"/>
      <c r="AA62" s="109"/>
      <c r="AB62" s="109"/>
      <c r="AK62" s="100"/>
    </row>
    <row r="63" spans="1:37" s="20" customFormat="1" hidden="1" x14ac:dyDescent="0.2">
      <c r="A63" s="128"/>
      <c r="B63" s="99"/>
      <c r="C63" s="99"/>
      <c r="W63" s="109"/>
      <c r="AA63" s="109"/>
      <c r="AB63" s="109"/>
      <c r="AK63" s="100"/>
    </row>
    <row r="64" spans="1:37" s="20" customFormat="1" hidden="1" x14ac:dyDescent="0.2">
      <c r="A64" s="128"/>
      <c r="W64" s="109"/>
      <c r="AA64" s="109"/>
      <c r="AB64" s="109"/>
      <c r="AK64" s="100"/>
    </row>
    <row r="65" spans="1:37" s="20" customFormat="1" hidden="1" x14ac:dyDescent="0.2">
      <c r="A65" s="128"/>
      <c r="W65" s="109"/>
      <c r="AA65" s="109"/>
      <c r="AB65" s="109"/>
      <c r="AK65" s="100"/>
    </row>
    <row r="66" spans="1:37" s="20" customFormat="1" hidden="1" x14ac:dyDescent="0.2">
      <c r="A66" s="128"/>
      <c r="W66" s="109"/>
      <c r="AA66" s="109"/>
      <c r="AB66" s="109"/>
      <c r="AK66" s="100"/>
    </row>
    <row r="67" spans="1:37" s="20" customFormat="1" hidden="1" x14ac:dyDescent="0.2">
      <c r="A67" s="128"/>
      <c r="W67" s="109"/>
      <c r="AA67" s="109"/>
      <c r="AB67" s="109"/>
      <c r="AK67" s="100"/>
    </row>
    <row r="68" spans="1:37" s="20" customFormat="1" hidden="1" x14ac:dyDescent="0.2">
      <c r="A68" s="128"/>
      <c r="W68" s="109"/>
      <c r="AA68" s="109"/>
      <c r="AB68" s="109"/>
      <c r="AK68" s="100"/>
    </row>
    <row r="69" spans="1:37" s="20" customFormat="1" hidden="1" x14ac:dyDescent="0.2">
      <c r="A69" s="128"/>
      <c r="W69" s="109"/>
      <c r="AA69" s="109"/>
      <c r="AB69" s="109"/>
      <c r="AK69" s="100"/>
    </row>
    <row r="70" spans="1:37" s="20" customFormat="1" hidden="1" x14ac:dyDescent="0.2">
      <c r="A70" s="128"/>
      <c r="W70" s="109"/>
      <c r="AA70" s="109"/>
      <c r="AB70" s="109"/>
      <c r="AK70" s="100"/>
    </row>
    <row r="71" spans="1:37" s="20" customFormat="1" hidden="1" x14ac:dyDescent="0.2">
      <c r="A71" s="128"/>
      <c r="W71" s="109"/>
      <c r="AA71" s="109"/>
      <c r="AB71" s="109"/>
      <c r="AK71" s="100"/>
    </row>
    <row r="72" spans="1:37" s="20" customFormat="1" hidden="1" x14ac:dyDescent="0.2">
      <c r="A72" s="128"/>
      <c r="W72" s="109"/>
      <c r="AA72" s="109"/>
      <c r="AB72" s="109"/>
      <c r="AK72" s="100"/>
    </row>
    <row r="73" spans="1:37" s="20" customFormat="1" hidden="1" x14ac:dyDescent="0.2">
      <c r="A73" s="128"/>
      <c r="W73" s="109"/>
      <c r="AA73" s="109"/>
      <c r="AB73" s="109"/>
      <c r="AK73" s="100"/>
    </row>
    <row r="74" spans="1:37" s="20" customFormat="1" hidden="1" x14ac:dyDescent="0.2">
      <c r="A74" s="128"/>
      <c r="W74" s="109"/>
      <c r="AA74" s="109"/>
      <c r="AB74" s="109"/>
      <c r="AK74" s="100"/>
    </row>
    <row r="75" spans="1:37" s="20" customFormat="1" hidden="1" x14ac:dyDescent="0.2">
      <c r="A75" s="128"/>
      <c r="W75" s="109"/>
      <c r="AA75" s="109"/>
      <c r="AB75" s="109"/>
      <c r="AK75" s="100"/>
    </row>
    <row r="76" spans="1:37" s="20" customFormat="1" hidden="1" x14ac:dyDescent="0.2">
      <c r="A76" s="128"/>
      <c r="W76" s="109"/>
      <c r="AA76" s="109"/>
      <c r="AB76" s="109"/>
      <c r="AK76" s="100"/>
    </row>
    <row r="77" spans="1:37" s="20" customFormat="1" hidden="1" x14ac:dyDescent="0.2">
      <c r="A77" s="128"/>
      <c r="W77" s="109"/>
      <c r="AA77" s="109"/>
      <c r="AB77" s="109"/>
      <c r="AK77" s="100"/>
    </row>
    <row r="78" spans="1:37" s="20" customFormat="1" hidden="1" x14ac:dyDescent="0.2">
      <c r="A78" s="128"/>
      <c r="W78" s="109"/>
      <c r="AA78" s="109"/>
      <c r="AB78" s="109"/>
      <c r="AK78" s="100"/>
    </row>
    <row r="79" spans="1:37" s="20" customFormat="1" hidden="1" x14ac:dyDescent="0.2">
      <c r="A79" s="128"/>
      <c r="W79" s="109"/>
      <c r="AA79" s="109"/>
      <c r="AB79" s="109"/>
      <c r="AK79" s="100"/>
    </row>
    <row r="80" spans="1:37" s="20" customFormat="1" hidden="1" x14ac:dyDescent="0.2">
      <c r="A80" s="128"/>
      <c r="W80" s="109"/>
      <c r="AA80" s="109"/>
      <c r="AB80" s="109"/>
      <c r="AK80" s="100"/>
    </row>
    <row r="81" spans="1:37" s="20" customFormat="1" hidden="1" x14ac:dyDescent="0.2">
      <c r="A81" s="128"/>
      <c r="W81" s="109"/>
      <c r="AA81" s="109"/>
      <c r="AB81" s="109"/>
      <c r="AK81" s="100"/>
    </row>
    <row r="82" spans="1:37" s="20" customFormat="1" hidden="1" x14ac:dyDescent="0.2">
      <c r="A82" s="128"/>
      <c r="W82" s="109"/>
      <c r="AA82" s="109"/>
      <c r="AB82" s="109"/>
      <c r="AK82" s="100"/>
    </row>
    <row r="83" spans="1:37" s="20" customFormat="1" hidden="1" x14ac:dyDescent="0.2">
      <c r="A83" s="128"/>
      <c r="W83" s="109"/>
      <c r="AA83" s="109"/>
      <c r="AB83" s="109"/>
      <c r="AK83" s="100"/>
    </row>
    <row r="84" spans="1:37" s="20" customFormat="1" hidden="1" x14ac:dyDescent="0.2">
      <c r="A84" s="128"/>
      <c r="W84" s="109"/>
      <c r="AA84" s="109"/>
      <c r="AB84" s="109"/>
      <c r="AK84" s="100"/>
    </row>
    <row r="85" spans="1:37" s="20" customFormat="1" hidden="1" x14ac:dyDescent="0.2">
      <c r="A85" s="128"/>
      <c r="W85" s="109"/>
      <c r="AA85" s="109"/>
      <c r="AB85" s="109"/>
      <c r="AK85" s="100"/>
    </row>
    <row r="86" spans="1:37" s="20" customFormat="1" x14ac:dyDescent="0.2">
      <c r="A86" s="128"/>
      <c r="W86" s="109"/>
      <c r="AA86" s="109"/>
      <c r="AB86" s="109"/>
      <c r="AK86" s="100"/>
    </row>
  </sheetData>
  <mergeCells count="5">
    <mergeCell ref="A1:AJ1"/>
    <mergeCell ref="F4:J4"/>
    <mergeCell ref="L4:Q4"/>
    <mergeCell ref="S4:W4"/>
    <mergeCell ref="AD4:AJ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</vt:i4>
      </vt:variant>
    </vt:vector>
  </HeadingPairs>
  <TitlesOfParts>
    <vt:vector size="12" baseType="lpstr">
      <vt:lpstr>Prezmluvňovanie</vt:lpstr>
      <vt:lpstr>Okáľa 2,10</vt:lpstr>
      <vt:lpstr>Vansovej 12</vt:lpstr>
      <vt:lpstr>V inej správe</vt:lpstr>
      <vt:lpstr>Kút 9,11,13</vt:lpstr>
      <vt:lpstr>CC 6,6A</vt:lpstr>
      <vt:lpstr>CC 8 ABCD</vt:lpstr>
      <vt:lpstr>CC 9A</vt:lpstr>
      <vt:lpstr>G 17,19 MsZ</vt:lpstr>
      <vt:lpstr>G 5A,5B MsZ</vt:lpstr>
      <vt:lpstr>'G 17,19 MsZ'!Oblasť_tlače</vt:lpstr>
      <vt:lpstr>'G 5A,5B MsZ'!Oblasť_tlače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Roderik Weissabel</dc:creator>
  <cp:lastModifiedBy>Pavláková Natália</cp:lastModifiedBy>
  <cp:lastPrinted>2024-11-07T08:15:32Z</cp:lastPrinted>
  <dcterms:created xsi:type="dcterms:W3CDTF">2024-10-18T07:09:29Z</dcterms:created>
  <dcterms:modified xsi:type="dcterms:W3CDTF">2024-12-05T10:09:03Z</dcterms:modified>
</cp:coreProperties>
</file>